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tatiana.mendonca\Desktop\662.2024\"/>
    </mc:Choice>
  </mc:AlternateContent>
  <bookViews>
    <workbookView xWindow="0" yWindow="0" windowWidth="28800" windowHeight="11835" tabRatio="982" firstSheet="15" activeTab="15"/>
  </bookViews>
  <sheets>
    <sheet name="02 IMP" sheetId="1" state="hidden" r:id="rId1"/>
    <sheet name="FISIO" sheetId="3" state="hidden" r:id="rId2"/>
    <sheet name="IMP OK" sheetId="2" state="hidden" r:id="rId3"/>
    <sheet name="SALUS OK" sheetId="4" state="hidden" r:id="rId4"/>
    <sheet name="BRAND OK" sheetId="5" state="hidden" r:id="rId5"/>
    <sheet name="ISSA OK" sheetId="6" state="hidden" r:id="rId6"/>
    <sheet name="HYGEA" sheetId="7" state="hidden" r:id="rId7"/>
    <sheet name="AJ2 S L SAUDE" sheetId="8" state="hidden" r:id="rId8"/>
    <sheet name="SALUS" sheetId="9" state="hidden" r:id="rId9"/>
    <sheet name="DIMPI" sheetId="10" state="hidden" r:id="rId10"/>
    <sheet name="AJ2 SOL LOG SAÚDE OK" sheetId="11" state="hidden" r:id="rId11"/>
    <sheet name="03  AJ2 SOL LOG SAÚDE" sheetId="12" state="hidden" r:id="rId12"/>
    <sheet name="04 FVS" sheetId="13" state="hidden" r:id="rId13"/>
    <sheet name="FS" sheetId="14" state="hidden" r:id="rId14"/>
    <sheet name="UTI PC" sheetId="15" state="hidden" r:id="rId15"/>
    <sheet name="Modelo revisado" sheetId="30" r:id="rId16"/>
    <sheet name="DOCTOR VIP L 1" sheetId="24" state="hidden" r:id="rId17"/>
    <sheet name="DOCTOR VIP L 2" sheetId="28" state="hidden" r:id="rId18"/>
    <sheet name="MORAES E SOEIRO L 03" sheetId="22" state="hidden" r:id="rId19"/>
    <sheet name="MORAES E SOEIRO L 08" sheetId="25" state="hidden" r:id="rId20"/>
    <sheet name="parei MORAES E SOEIRO L4" sheetId="21" state="hidden" r:id="rId21"/>
    <sheet name="Plan2" sheetId="23" state="hidden" r:id="rId22"/>
    <sheet name="HYPNOS L 4" sheetId="26" state="hidden" r:id="rId23"/>
    <sheet name="HYPNOS L.7" sheetId="16" state="hidden" r:id="rId24"/>
    <sheet name="LIFECARE 6 CONF." sheetId="27" state="hidden" r:id="rId25"/>
    <sheet name="DOM WALMOR L.5 CONF." sheetId="17" state="hidden" r:id="rId26"/>
    <sheet name="IMP" sheetId="18" state="hidden" r:id="rId27"/>
    <sheet name="DOM WALMOR L. 5" sheetId="19" state="hidden" r:id="rId28"/>
    <sheet name="Plan1" sheetId="20" state="hidden" r:id="rId29"/>
  </sheets>
  <definedNames>
    <definedName name="_xlnm.Print_Area" localSheetId="16">'DOCTOR VIP L 1'!$A$1:$M$47</definedName>
    <definedName name="_xlnm.Print_Area" localSheetId="25">'DOM WALMOR L.5 CONF.'!$A$1:$N$51</definedName>
    <definedName name="_xlnm.Print_Area" localSheetId="23">'HYPNOS L.7'!$A$1:$M$49</definedName>
    <definedName name="_xlnm.Print_Area" localSheetId="24">'LIFECARE 6 CONF.'!$A$1:$N$51</definedName>
    <definedName name="_xlnm.Print_Area" localSheetId="15">'Modelo revisado'!$A$1:$J$61</definedName>
    <definedName name="_xlnm.Print_Area" localSheetId="18">'MORAES E SOEIRO L 03'!$A$1:$L$45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1" i="30" l="1"/>
  <c r="I25" i="30"/>
  <c r="I4" i="30"/>
  <c r="E24" i="30" l="1"/>
  <c r="E25" i="30" s="1"/>
  <c r="C38" i="30" l="1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37" i="30"/>
  <c r="A38" i="30"/>
  <c r="A39" i="30"/>
  <c r="A40" i="30"/>
  <c r="A41" i="30"/>
  <c r="A42" i="30"/>
  <c r="A43" i="30"/>
  <c r="A44" i="30"/>
  <c r="A45" i="30"/>
  <c r="A46" i="30"/>
  <c r="A47" i="30"/>
  <c r="A48" i="30"/>
  <c r="A49" i="30"/>
  <c r="A50" i="30"/>
  <c r="A51" i="30"/>
  <c r="A52" i="30"/>
  <c r="A53" i="30"/>
  <c r="A54" i="30"/>
  <c r="A55" i="30"/>
  <c r="A56" i="30"/>
  <c r="A37" i="30"/>
  <c r="C31" i="30"/>
  <c r="G5" i="30"/>
  <c r="I38" i="30" s="1"/>
  <c r="G6" i="30"/>
  <c r="I39" i="30" s="1"/>
  <c r="G7" i="30"/>
  <c r="I7" i="30" s="1"/>
  <c r="J40" i="30" s="1"/>
  <c r="G8" i="30"/>
  <c r="I8" i="30" s="1"/>
  <c r="J41" i="30" s="1"/>
  <c r="G9" i="30"/>
  <c r="I42" i="30" s="1"/>
  <c r="G10" i="30"/>
  <c r="I10" i="30" s="1"/>
  <c r="J43" i="30" s="1"/>
  <c r="G11" i="30"/>
  <c r="I11" i="30" s="1"/>
  <c r="J44" i="30" s="1"/>
  <c r="G12" i="30"/>
  <c r="I12" i="30" s="1"/>
  <c r="J45" i="30" s="1"/>
  <c r="G13" i="30"/>
  <c r="I46" i="30" s="1"/>
  <c r="G14" i="30"/>
  <c r="I14" i="30" s="1"/>
  <c r="J47" i="30" s="1"/>
  <c r="G15" i="30"/>
  <c r="I15" i="30" s="1"/>
  <c r="J48" i="30" s="1"/>
  <c r="G16" i="30"/>
  <c r="I16" i="30" s="1"/>
  <c r="J49" i="30" s="1"/>
  <c r="G17" i="30"/>
  <c r="I50" i="30" s="1"/>
  <c r="G18" i="30"/>
  <c r="I18" i="30" s="1"/>
  <c r="J51" i="30" s="1"/>
  <c r="G19" i="30"/>
  <c r="I19" i="30" s="1"/>
  <c r="J52" i="30" s="1"/>
  <c r="G20" i="30"/>
  <c r="I20" i="30" s="1"/>
  <c r="J53" i="30" s="1"/>
  <c r="G21" i="30"/>
  <c r="I54" i="30" s="1"/>
  <c r="G22" i="30"/>
  <c r="I55" i="30" s="1"/>
  <c r="G23" i="30"/>
  <c r="I23" i="30" s="1"/>
  <c r="J56" i="30" s="1"/>
  <c r="G4" i="30"/>
  <c r="J37" i="30" s="1"/>
  <c r="I9" i="30"/>
  <c r="J42" i="30" s="1"/>
  <c r="I13" i="30" l="1"/>
  <c r="J46" i="30" s="1"/>
  <c r="I53" i="30"/>
  <c r="I17" i="30"/>
  <c r="J50" i="30" s="1"/>
  <c r="I48" i="30"/>
  <c r="I37" i="30"/>
  <c r="I56" i="30"/>
  <c r="I52" i="30"/>
  <c r="I51" i="30"/>
  <c r="I49" i="30"/>
  <c r="I47" i="30"/>
  <c r="I45" i="30"/>
  <c r="I44" i="30"/>
  <c r="I43" i="30"/>
  <c r="I41" i="30"/>
  <c r="I40" i="30"/>
  <c r="C30" i="30"/>
  <c r="C29" i="30"/>
  <c r="C32" i="30" l="1"/>
  <c r="I22" i="30"/>
  <c r="J55" i="30" s="1"/>
  <c r="I5" i="30" l="1"/>
  <c r="J38" i="30" s="1"/>
  <c r="I6" i="30"/>
  <c r="J39" i="30" s="1"/>
  <c r="I21" i="30"/>
  <c r="J54" i="30" s="1"/>
  <c r="J57" i="30" l="1"/>
  <c r="F57" i="30" s="1"/>
  <c r="I24" i="30"/>
  <c r="C57" i="30"/>
  <c r="H30" i="30" l="1"/>
  <c r="H29" i="30"/>
  <c r="H31" i="30"/>
  <c r="H32" i="30" l="1"/>
  <c r="F40" i="30"/>
  <c r="G40" i="30" s="1"/>
  <c r="F44" i="30"/>
  <c r="G44" i="30" s="1"/>
  <c r="F48" i="30"/>
  <c r="G48" i="30" s="1"/>
  <c r="F52" i="30"/>
  <c r="G52" i="30" s="1"/>
  <c r="F56" i="30"/>
  <c r="G56" i="30" s="1"/>
  <c r="F41" i="30"/>
  <c r="F45" i="30"/>
  <c r="F49" i="30"/>
  <c r="F53" i="30"/>
  <c r="F38" i="30"/>
  <c r="G38" i="30" s="1"/>
  <c r="F42" i="30"/>
  <c r="G42" i="30" s="1"/>
  <c r="F46" i="30"/>
  <c r="G46" i="30" s="1"/>
  <c r="F50" i="30"/>
  <c r="G50" i="30" s="1"/>
  <c r="F54" i="30"/>
  <c r="G54" i="30" s="1"/>
  <c r="F37" i="30"/>
  <c r="G37" i="30" s="1"/>
  <c r="F39" i="30"/>
  <c r="G39" i="30" s="1"/>
  <c r="F43" i="30"/>
  <c r="G43" i="30" s="1"/>
  <c r="F47" i="30"/>
  <c r="G47" i="30" s="1"/>
  <c r="F51" i="30"/>
  <c r="G51" i="30" s="1"/>
  <c r="F55" i="30"/>
  <c r="G55" i="30" s="1"/>
  <c r="C20" i="27"/>
  <c r="H50" i="30" l="1"/>
  <c r="H43" i="30"/>
  <c r="H40" i="30"/>
  <c r="H55" i="30"/>
  <c r="H46" i="30"/>
  <c r="H49" i="30"/>
  <c r="G49" i="30"/>
  <c r="H51" i="30"/>
  <c r="H45" i="30"/>
  <c r="G45" i="30"/>
  <c r="H37" i="30"/>
  <c r="H41" i="30"/>
  <c r="G41" i="30"/>
  <c r="H38" i="30"/>
  <c r="H52" i="30"/>
  <c r="H56" i="30"/>
  <c r="H47" i="30"/>
  <c r="H42" i="30"/>
  <c r="H53" i="30"/>
  <c r="G53" i="30"/>
  <c r="H54" i="30"/>
  <c r="H44" i="30"/>
  <c r="H48" i="30"/>
  <c r="H39" i="30"/>
  <c r="E36" i="25"/>
  <c r="E40" i="24"/>
  <c r="J10" i="17"/>
  <c r="Q9" i="17"/>
  <c r="F50" i="17"/>
  <c r="E51" i="17"/>
  <c r="E50" i="17"/>
  <c r="F42" i="17"/>
  <c r="E42" i="17"/>
  <c r="F10" i="17"/>
  <c r="F48" i="16"/>
  <c r="E48" i="16"/>
  <c r="F40" i="16"/>
  <c r="E40" i="16"/>
  <c r="F32" i="26"/>
  <c r="E36" i="22"/>
  <c r="F29" i="25"/>
  <c r="F27" i="25"/>
  <c r="M9" i="24" l="1"/>
  <c r="P10" i="17" l="1"/>
  <c r="Q20" i="17"/>
  <c r="H42" i="17"/>
  <c r="H9" i="17" s="1"/>
  <c r="F36" i="17"/>
  <c r="E36" i="17"/>
  <c r="E35" i="17"/>
  <c r="E33" i="17"/>
  <c r="E34" i="17" s="1"/>
  <c r="F33" i="17"/>
  <c r="P20" i="17"/>
  <c r="F9" i="17"/>
  <c r="F30" i="25" l="1"/>
  <c r="N9" i="28"/>
  <c r="B40" i="28"/>
  <c r="E24" i="28"/>
  <c r="E21" i="28"/>
  <c r="D18" i="28"/>
  <c r="N17" i="28"/>
  <c r="M17" i="28"/>
  <c r="F17" i="28"/>
  <c r="N16" i="28"/>
  <c r="M16" i="28"/>
  <c r="F16" i="28"/>
  <c r="N15" i="28"/>
  <c r="M15" i="28"/>
  <c r="F15" i="28"/>
  <c r="N14" i="28"/>
  <c r="M14" i="28"/>
  <c r="F14" i="28"/>
  <c r="N13" i="28"/>
  <c r="M13" i="28"/>
  <c r="F13" i="28"/>
  <c r="N12" i="28"/>
  <c r="M12" i="28"/>
  <c r="F12" i="28"/>
  <c r="N11" i="28"/>
  <c r="M11" i="28"/>
  <c r="F11" i="28"/>
  <c r="N10" i="28"/>
  <c r="M10" i="28"/>
  <c r="F10" i="28"/>
  <c r="F9" i="28"/>
  <c r="E7" i="28"/>
  <c r="D7" i="28"/>
  <c r="F18" i="28" l="1"/>
  <c r="N18" i="28"/>
  <c r="H16" i="28" l="1"/>
  <c r="H10" i="28"/>
  <c r="H13" i="28"/>
  <c r="H11" i="28"/>
  <c r="F31" i="28"/>
  <c r="F33" i="28" s="1"/>
  <c r="E33" i="28" s="1"/>
  <c r="H9" i="28"/>
  <c r="H17" i="28"/>
  <c r="F32" i="28"/>
  <c r="E32" i="28" s="1"/>
  <c r="H15" i="28"/>
  <c r="H14" i="28"/>
  <c r="H12" i="28"/>
  <c r="L10" i="25"/>
  <c r="L9" i="25"/>
  <c r="N13" i="25"/>
  <c r="N12" i="25"/>
  <c r="N11" i="25"/>
  <c r="E28" i="25"/>
  <c r="L9" i="22"/>
  <c r="L13" i="16"/>
  <c r="H18" i="28" l="1"/>
  <c r="H24" i="28" s="1"/>
  <c r="F34" i="28"/>
  <c r="E31" i="28"/>
  <c r="E34" i="28" s="1"/>
  <c r="L14" i="25"/>
  <c r="E44" i="28" l="1"/>
  <c r="E46" i="28" s="1"/>
  <c r="F39" i="28" s="1"/>
  <c r="E39" i="28" s="1"/>
  <c r="E43" i="28"/>
  <c r="E45" i="28" s="1"/>
  <c r="G60" i="27"/>
  <c r="B42" i="27"/>
  <c r="E26" i="27"/>
  <c r="E23" i="27"/>
  <c r="D20" i="27"/>
  <c r="M19" i="27"/>
  <c r="F19" i="27"/>
  <c r="M18" i="27"/>
  <c r="F18" i="27"/>
  <c r="M17" i="27"/>
  <c r="F17" i="27"/>
  <c r="M16" i="27"/>
  <c r="F16" i="27"/>
  <c r="M15" i="27"/>
  <c r="F15" i="27"/>
  <c r="M14" i="27"/>
  <c r="F14" i="27"/>
  <c r="M13" i="27"/>
  <c r="F13" i="27"/>
  <c r="M12" i="27"/>
  <c r="F12" i="27"/>
  <c r="M11" i="27"/>
  <c r="F11" i="27"/>
  <c r="M10" i="27"/>
  <c r="F10" i="27"/>
  <c r="M9" i="27"/>
  <c r="F9" i="27"/>
  <c r="E7" i="27"/>
  <c r="D7" i="27"/>
  <c r="M19" i="17"/>
  <c r="M18" i="17"/>
  <c r="M17" i="17"/>
  <c r="M16" i="17"/>
  <c r="M15" i="17"/>
  <c r="M14" i="17"/>
  <c r="M13" i="17"/>
  <c r="M12" i="17"/>
  <c r="M11" i="17"/>
  <c r="M10" i="17"/>
  <c r="M9" i="17"/>
  <c r="F18" i="17"/>
  <c r="F17" i="17"/>
  <c r="B42" i="17"/>
  <c r="E26" i="17"/>
  <c r="E23" i="17"/>
  <c r="D20" i="17"/>
  <c r="F19" i="17"/>
  <c r="F16" i="17"/>
  <c r="F15" i="17"/>
  <c r="F14" i="17"/>
  <c r="F13" i="17"/>
  <c r="F12" i="17"/>
  <c r="F11" i="17"/>
  <c r="E7" i="17"/>
  <c r="D7" i="17"/>
  <c r="G58" i="26"/>
  <c r="L41" i="26"/>
  <c r="B40" i="26"/>
  <c r="E24" i="26"/>
  <c r="E21" i="26"/>
  <c r="D18" i="26"/>
  <c r="M17" i="26"/>
  <c r="L17" i="26"/>
  <c r="F17" i="26"/>
  <c r="M16" i="26"/>
  <c r="L16" i="26"/>
  <c r="F16" i="26"/>
  <c r="M15" i="26"/>
  <c r="L15" i="26"/>
  <c r="F15" i="26"/>
  <c r="M14" i="26"/>
  <c r="L14" i="26"/>
  <c r="F14" i="26"/>
  <c r="M13" i="26"/>
  <c r="L13" i="26"/>
  <c r="F13" i="26"/>
  <c r="M12" i="26"/>
  <c r="L12" i="26"/>
  <c r="F12" i="26"/>
  <c r="M11" i="26"/>
  <c r="L11" i="26"/>
  <c r="F11" i="26"/>
  <c r="M10" i="26"/>
  <c r="L10" i="26"/>
  <c r="F10" i="26"/>
  <c r="M9" i="26"/>
  <c r="F9" i="26"/>
  <c r="E7" i="26"/>
  <c r="D7" i="26"/>
  <c r="L10" i="16"/>
  <c r="M9" i="16"/>
  <c r="F14" i="16"/>
  <c r="G58" i="16"/>
  <c r="B40" i="16"/>
  <c r="L41" i="16"/>
  <c r="E24" i="16"/>
  <c r="E21" i="16"/>
  <c r="D18" i="16"/>
  <c r="M17" i="16"/>
  <c r="L17" i="16"/>
  <c r="F17" i="16"/>
  <c r="M16" i="16"/>
  <c r="L16" i="16"/>
  <c r="F16" i="16"/>
  <c r="M15" i="16"/>
  <c r="L15" i="16"/>
  <c r="F15" i="16"/>
  <c r="M14" i="16"/>
  <c r="L14" i="16"/>
  <c r="M13" i="16"/>
  <c r="F13" i="16"/>
  <c r="M12" i="16"/>
  <c r="L12" i="16"/>
  <c r="F12" i="16"/>
  <c r="M11" i="16"/>
  <c r="L11" i="16"/>
  <c r="F11" i="16"/>
  <c r="M10" i="16"/>
  <c r="F10" i="16"/>
  <c r="F9" i="16"/>
  <c r="E7" i="16"/>
  <c r="D7" i="16"/>
  <c r="F37" i="28" l="1"/>
  <c r="E37" i="28" s="1"/>
  <c r="F38" i="28"/>
  <c r="E38" i="28" s="1"/>
  <c r="F20" i="27"/>
  <c r="M20" i="27"/>
  <c r="M20" i="17"/>
  <c r="M31" i="17" s="1"/>
  <c r="F20" i="17"/>
  <c r="M18" i="26"/>
  <c r="F18" i="26"/>
  <c r="F18" i="16"/>
  <c r="M18" i="16"/>
  <c r="B36" i="25"/>
  <c r="E20" i="25"/>
  <c r="E17" i="25"/>
  <c r="D14" i="25"/>
  <c r="F13" i="25"/>
  <c r="F12" i="25"/>
  <c r="H12" i="25" s="1"/>
  <c r="F11" i="25"/>
  <c r="H11" i="25" s="1"/>
  <c r="F10" i="25"/>
  <c r="F9" i="25"/>
  <c r="E7" i="25"/>
  <c r="D7" i="25"/>
  <c r="L10" i="22"/>
  <c r="L14" i="22" s="1"/>
  <c r="M17" i="24"/>
  <c r="L17" i="24"/>
  <c r="M16" i="24"/>
  <c r="L16" i="24"/>
  <c r="M15" i="24"/>
  <c r="L15" i="24"/>
  <c r="M14" i="24"/>
  <c r="L14" i="24"/>
  <c r="M13" i="24"/>
  <c r="L13" i="24"/>
  <c r="M12" i="24"/>
  <c r="L12" i="24"/>
  <c r="M11" i="24"/>
  <c r="L11" i="24"/>
  <c r="M10" i="24"/>
  <c r="L10" i="24"/>
  <c r="F17" i="24"/>
  <c r="F16" i="24"/>
  <c r="F15" i="24"/>
  <c r="F14" i="24"/>
  <c r="F13" i="24"/>
  <c r="F12" i="24"/>
  <c r="H56" i="24"/>
  <c r="B40" i="24"/>
  <c r="E24" i="24"/>
  <c r="E21" i="24"/>
  <c r="D18" i="24"/>
  <c r="F11" i="24"/>
  <c r="F10" i="24"/>
  <c r="F9" i="24"/>
  <c r="E7" i="24"/>
  <c r="D7" i="24"/>
  <c r="F18" i="24" l="1"/>
  <c r="F40" i="28"/>
  <c r="F48" i="28" s="1"/>
  <c r="E40" i="28"/>
  <c r="E48" i="28" s="1"/>
  <c r="E49" i="28" s="1"/>
  <c r="F33" i="27"/>
  <c r="F35" i="27" s="1"/>
  <c r="G12" i="27"/>
  <c r="F33" i="16"/>
  <c r="E33" i="16"/>
  <c r="F35" i="17"/>
  <c r="G9" i="27"/>
  <c r="G17" i="26"/>
  <c r="F33" i="26"/>
  <c r="F31" i="26"/>
  <c r="M18" i="24"/>
  <c r="G14" i="16"/>
  <c r="E32" i="16"/>
  <c r="F32" i="16"/>
  <c r="G18" i="17"/>
  <c r="G14" i="27"/>
  <c r="G16" i="27"/>
  <c r="G13" i="27"/>
  <c r="G19" i="27"/>
  <c r="G11" i="27"/>
  <c r="F34" i="27"/>
  <c r="E34" i="27"/>
  <c r="G18" i="27"/>
  <c r="G10" i="27"/>
  <c r="G17" i="27"/>
  <c r="G15" i="27"/>
  <c r="G17" i="17"/>
  <c r="G14" i="17"/>
  <c r="G9" i="17"/>
  <c r="G15" i="17"/>
  <c r="F34" i="17"/>
  <c r="G12" i="17"/>
  <c r="G13" i="17"/>
  <c r="G19" i="17"/>
  <c r="G10" i="17"/>
  <c r="G11" i="17"/>
  <c r="G16" i="17"/>
  <c r="G9" i="26"/>
  <c r="E33" i="26"/>
  <c r="G10" i="26"/>
  <c r="G13" i="26"/>
  <c r="G15" i="26"/>
  <c r="G11" i="26"/>
  <c r="E32" i="26"/>
  <c r="G12" i="26"/>
  <c r="G16" i="26"/>
  <c r="G14" i="26"/>
  <c r="G9" i="16"/>
  <c r="G15" i="16"/>
  <c r="G12" i="16"/>
  <c r="F31" i="16"/>
  <c r="E31" i="16" s="1"/>
  <c r="G13" i="16"/>
  <c r="G11" i="16"/>
  <c r="G16" i="16"/>
  <c r="G17" i="16"/>
  <c r="G10" i="16"/>
  <c r="F14" i="25"/>
  <c r="G9" i="25"/>
  <c r="G14" i="25" s="1"/>
  <c r="G20" i="25" s="1"/>
  <c r="G10" i="25"/>
  <c r="F31" i="24" l="1"/>
  <c r="F33" i="24" s="1"/>
  <c r="H12" i="24"/>
  <c r="I35" i="28"/>
  <c r="G40" i="28"/>
  <c r="G48" i="28"/>
  <c r="F49" i="28"/>
  <c r="G49" i="28" s="1"/>
  <c r="H11" i="24"/>
  <c r="H16" i="24"/>
  <c r="H9" i="24"/>
  <c r="H13" i="24"/>
  <c r="H17" i="24"/>
  <c r="H14" i="24"/>
  <c r="H10" i="24"/>
  <c r="H15" i="24"/>
  <c r="F32" i="24"/>
  <c r="E32" i="24" s="1"/>
  <c r="F36" i="27"/>
  <c r="E34" i="16"/>
  <c r="E31" i="26"/>
  <c r="E34" i="26" s="1"/>
  <c r="E43" i="26" s="1"/>
  <c r="E45" i="26" s="1"/>
  <c r="F34" i="26"/>
  <c r="E33" i="27"/>
  <c r="E36" i="27" s="1"/>
  <c r="G20" i="27"/>
  <c r="G26" i="27" s="1"/>
  <c r="G20" i="17"/>
  <c r="G26" i="17" s="1"/>
  <c r="G18" i="26"/>
  <c r="G24" i="26" s="1"/>
  <c r="G18" i="16"/>
  <c r="G24" i="16" s="1"/>
  <c r="F34" i="16"/>
  <c r="E29" i="25"/>
  <c r="E27" i="25"/>
  <c r="E30" i="25" s="1"/>
  <c r="E44" i="25" s="1"/>
  <c r="J36" i="27" l="1"/>
  <c r="E50" i="27"/>
  <c r="E31" i="24"/>
  <c r="I13" i="28"/>
  <c r="J13" i="28" s="1"/>
  <c r="G13" i="28" s="1"/>
  <c r="I11" i="28"/>
  <c r="J11" i="28" s="1"/>
  <c r="G11" i="28" s="1"/>
  <c r="I9" i="28"/>
  <c r="J9" i="28" s="1"/>
  <c r="I16" i="28"/>
  <c r="J16" i="28" s="1"/>
  <c r="G16" i="28" s="1"/>
  <c r="I17" i="28"/>
  <c r="J17" i="28" s="1"/>
  <c r="G17" i="28" s="1"/>
  <c r="I10" i="28"/>
  <c r="J10" i="28" s="1"/>
  <c r="G10" i="28" s="1"/>
  <c r="I15" i="28"/>
  <c r="J15" i="28" s="1"/>
  <c r="G15" i="28" s="1"/>
  <c r="I12" i="28"/>
  <c r="J12" i="28" s="1"/>
  <c r="G12" i="28" s="1"/>
  <c r="I14" i="28"/>
  <c r="J14" i="28" s="1"/>
  <c r="G14" i="28" s="1"/>
  <c r="G9" i="28"/>
  <c r="H18" i="24"/>
  <c r="H24" i="24" s="1"/>
  <c r="E44" i="16"/>
  <c r="E46" i="16" s="1"/>
  <c r="J36" i="17"/>
  <c r="F39" i="16"/>
  <c r="F38" i="16"/>
  <c r="E38" i="16" s="1"/>
  <c r="E44" i="26"/>
  <c r="E46" i="26" s="1"/>
  <c r="F37" i="26" s="1"/>
  <c r="E43" i="16"/>
  <c r="E45" i="16" s="1"/>
  <c r="E45" i="17"/>
  <c r="E46" i="17"/>
  <c r="E46" i="27"/>
  <c r="E45" i="27"/>
  <c r="F37" i="16"/>
  <c r="E37" i="16" s="1"/>
  <c r="E39" i="16"/>
  <c r="L29" i="25"/>
  <c r="E39" i="25"/>
  <c r="E41" i="25" s="1"/>
  <c r="I18" i="28" l="1"/>
  <c r="J18" i="28" s="1"/>
  <c r="M9" i="28"/>
  <c r="M18" i="28" s="1"/>
  <c r="O18" i="28" s="1"/>
  <c r="F34" i="24"/>
  <c r="E33" i="24"/>
  <c r="E34" i="24" s="1"/>
  <c r="F39" i="26"/>
  <c r="E39" i="26" s="1"/>
  <c r="F38" i="26"/>
  <c r="E38" i="26" s="1"/>
  <c r="E47" i="17"/>
  <c r="E48" i="17"/>
  <c r="F39" i="17" s="1"/>
  <c r="E47" i="27"/>
  <c r="E48" i="27"/>
  <c r="F39" i="27" s="1"/>
  <c r="E37" i="26"/>
  <c r="L30" i="25"/>
  <c r="E40" i="25"/>
  <c r="E42" i="25" s="1"/>
  <c r="F18" i="23"/>
  <c r="G57" i="23"/>
  <c r="B41" i="23"/>
  <c r="N40" i="23"/>
  <c r="N42" i="23" s="1"/>
  <c r="N35" i="23"/>
  <c r="E25" i="23"/>
  <c r="E22" i="23"/>
  <c r="D19" i="23"/>
  <c r="C19" i="23"/>
  <c r="M18" i="23"/>
  <c r="M17" i="23"/>
  <c r="M16" i="23"/>
  <c r="M15" i="23"/>
  <c r="M14" i="23"/>
  <c r="M13" i="23"/>
  <c r="M12" i="23"/>
  <c r="M11" i="23"/>
  <c r="M10" i="23"/>
  <c r="M9" i="23"/>
  <c r="F19" i="23"/>
  <c r="K32" i="23" s="1"/>
  <c r="E7" i="23"/>
  <c r="D7" i="23"/>
  <c r="L4" i="23"/>
  <c r="L3" i="23"/>
  <c r="E42" i="24" l="1"/>
  <c r="E41" i="24"/>
  <c r="E46" i="24"/>
  <c r="F35" i="25"/>
  <c r="F33" i="25"/>
  <c r="H40" i="16"/>
  <c r="F40" i="26"/>
  <c r="H40" i="26" s="1"/>
  <c r="H9" i="26" s="1"/>
  <c r="F49" i="16"/>
  <c r="I44" i="16"/>
  <c r="E40" i="26"/>
  <c r="E48" i="26" s="1"/>
  <c r="E52" i="26" s="1"/>
  <c r="F41" i="27"/>
  <c r="F40" i="27"/>
  <c r="F34" i="25"/>
  <c r="M19" i="23"/>
  <c r="F34" i="23"/>
  <c r="F33" i="23"/>
  <c r="F32" i="23"/>
  <c r="E34" i="23"/>
  <c r="E32" i="23"/>
  <c r="K31" i="23" s="1"/>
  <c r="L4" i="21"/>
  <c r="L3" i="21"/>
  <c r="M9" i="21"/>
  <c r="M18" i="21"/>
  <c r="M17" i="21"/>
  <c r="M16" i="21"/>
  <c r="M15" i="21"/>
  <c r="M14" i="21"/>
  <c r="M13" i="21"/>
  <c r="M12" i="21"/>
  <c r="M11" i="21"/>
  <c r="M10" i="21"/>
  <c r="E47" i="24" l="1"/>
  <c r="E44" i="24"/>
  <c r="F37" i="24" s="1"/>
  <c r="E43" i="24"/>
  <c r="J36" i="25"/>
  <c r="J44" i="25"/>
  <c r="F38" i="24"/>
  <c r="E49" i="26"/>
  <c r="I44" i="26"/>
  <c r="F48" i="26"/>
  <c r="F49" i="26" s="1"/>
  <c r="J49" i="26" s="1"/>
  <c r="G44" i="26"/>
  <c r="E49" i="16"/>
  <c r="J49" i="16" s="1"/>
  <c r="M29" i="16"/>
  <c r="E52" i="16"/>
  <c r="G44" i="16"/>
  <c r="E42" i="27"/>
  <c r="M31" i="27" s="1"/>
  <c r="F42" i="27"/>
  <c r="H16" i="26"/>
  <c r="I16" i="26" s="1"/>
  <c r="H12" i="26"/>
  <c r="I12" i="26" s="1"/>
  <c r="H11" i="26"/>
  <c r="I11" i="26" s="1"/>
  <c r="J11" i="26" s="1"/>
  <c r="H17" i="26"/>
  <c r="I17" i="26" s="1"/>
  <c r="H10" i="26"/>
  <c r="I10" i="26" s="1"/>
  <c r="J10" i="26" s="1"/>
  <c r="H13" i="26"/>
  <c r="I13" i="26" s="1"/>
  <c r="H14" i="26"/>
  <c r="I14" i="26" s="1"/>
  <c r="H15" i="26"/>
  <c r="I15" i="26" s="1"/>
  <c r="J48" i="16"/>
  <c r="H14" i="16"/>
  <c r="I14" i="16" s="1"/>
  <c r="H13" i="16"/>
  <c r="I13" i="16" s="1"/>
  <c r="J13" i="16" s="1"/>
  <c r="H17" i="16"/>
  <c r="I17" i="16" s="1"/>
  <c r="H10" i="16"/>
  <c r="I10" i="16" s="1"/>
  <c r="J10" i="16" s="1"/>
  <c r="H15" i="16"/>
  <c r="I15" i="16" s="1"/>
  <c r="H11" i="16"/>
  <c r="I11" i="16" s="1"/>
  <c r="J11" i="16" s="1"/>
  <c r="H12" i="16"/>
  <c r="I12" i="16" s="1"/>
  <c r="J12" i="16" s="1"/>
  <c r="H16" i="16"/>
  <c r="I16" i="16" s="1"/>
  <c r="H9" i="16"/>
  <c r="F36" i="25"/>
  <c r="F44" i="25" s="1"/>
  <c r="M19" i="21"/>
  <c r="H19" i="23"/>
  <c r="F35" i="23"/>
  <c r="E35" i="23"/>
  <c r="G19" i="23"/>
  <c r="G25" i="23" s="1"/>
  <c r="H42" i="27" l="1"/>
  <c r="H9" i="27" s="1"/>
  <c r="I9" i="27" s="1"/>
  <c r="J9" i="27" s="1"/>
  <c r="O9" i="27" s="1"/>
  <c r="J42" i="27"/>
  <c r="F50" i="27"/>
  <c r="J50" i="27" s="1"/>
  <c r="F40" i="24"/>
  <c r="F46" i="24" s="1"/>
  <c r="G46" i="24" s="1"/>
  <c r="E45" i="25"/>
  <c r="F45" i="25"/>
  <c r="F39" i="24"/>
  <c r="J48" i="26"/>
  <c r="H35" i="25"/>
  <c r="H9" i="25" s="1"/>
  <c r="I9" i="25" s="1"/>
  <c r="E51" i="27"/>
  <c r="J46" i="27"/>
  <c r="H18" i="26"/>
  <c r="I18" i="26" s="1"/>
  <c r="I9" i="26"/>
  <c r="J9" i="26" s="1"/>
  <c r="L9" i="26" s="1"/>
  <c r="L18" i="26" s="1"/>
  <c r="N18" i="26" s="1"/>
  <c r="I9" i="16"/>
  <c r="H18" i="16"/>
  <c r="I18" i="16" s="1"/>
  <c r="I29" i="16" s="1"/>
  <c r="E50" i="24"/>
  <c r="E44" i="23"/>
  <c r="E46" i="23" s="1"/>
  <c r="M35" i="23"/>
  <c r="E45" i="23"/>
  <c r="E47" i="23" s="1"/>
  <c r="F9" i="21"/>
  <c r="F18" i="21"/>
  <c r="J45" i="25" l="1"/>
  <c r="N9" i="25"/>
  <c r="J9" i="16"/>
  <c r="L9" i="16" s="1"/>
  <c r="L18" i="16" s="1"/>
  <c r="H12" i="27"/>
  <c r="I12" i="27" s="1"/>
  <c r="J12" i="27" s="1"/>
  <c r="H11" i="27"/>
  <c r="I11" i="27" s="1"/>
  <c r="J11" i="27" s="1"/>
  <c r="H15" i="27"/>
  <c r="I15" i="27" s="1"/>
  <c r="J15" i="27" s="1"/>
  <c r="H13" i="27"/>
  <c r="I13" i="27" s="1"/>
  <c r="J13" i="27" s="1"/>
  <c r="H14" i="27"/>
  <c r="I14" i="27" s="1"/>
  <c r="J14" i="27" s="1"/>
  <c r="H10" i="27"/>
  <c r="H18" i="27"/>
  <c r="I18" i="27" s="1"/>
  <c r="J18" i="27" s="1"/>
  <c r="H19" i="27"/>
  <c r="I19" i="27" s="1"/>
  <c r="H16" i="27"/>
  <c r="I16" i="27" s="1"/>
  <c r="J16" i="27" s="1"/>
  <c r="H17" i="27"/>
  <c r="I17" i="27" s="1"/>
  <c r="J17" i="27" s="1"/>
  <c r="F51" i="27"/>
  <c r="J51" i="27" s="1"/>
  <c r="H10" i="25"/>
  <c r="I10" i="25" s="1"/>
  <c r="F40" i="23"/>
  <c r="F38" i="23"/>
  <c r="F39" i="23"/>
  <c r="E38" i="23"/>
  <c r="E40" i="23"/>
  <c r="E39" i="23"/>
  <c r="F17" i="21"/>
  <c r="F16" i="21"/>
  <c r="F15" i="21"/>
  <c r="F14" i="21"/>
  <c r="F13" i="21"/>
  <c r="F12" i="21"/>
  <c r="F11" i="21"/>
  <c r="F10" i="21"/>
  <c r="G57" i="21"/>
  <c r="B41" i="21"/>
  <c r="N40" i="21"/>
  <c r="N42" i="21" s="1"/>
  <c r="N35" i="21"/>
  <c r="E25" i="21"/>
  <c r="E22" i="21"/>
  <c r="D19" i="21"/>
  <c r="C19" i="21"/>
  <c r="E7" i="21"/>
  <c r="D7" i="21"/>
  <c r="L16" i="27" l="1"/>
  <c r="O16" i="27"/>
  <c r="L15" i="27"/>
  <c r="O15" i="27"/>
  <c r="L18" i="27"/>
  <c r="O18" i="27"/>
  <c r="L11" i="27"/>
  <c r="O11" i="27"/>
  <c r="L12" i="27"/>
  <c r="O12" i="27"/>
  <c r="L13" i="27"/>
  <c r="O13" i="27"/>
  <c r="L17" i="27"/>
  <c r="O17" i="27"/>
  <c r="J19" i="27"/>
  <c r="O19" i="27" s="1"/>
  <c r="L14" i="27"/>
  <c r="O14" i="27"/>
  <c r="G40" i="24"/>
  <c r="I35" i="24"/>
  <c r="I16" i="24"/>
  <c r="J16" i="24" s="1"/>
  <c r="I15" i="24"/>
  <c r="J15" i="24" s="1"/>
  <c r="I11" i="24"/>
  <c r="J11" i="24" s="1"/>
  <c r="G11" i="24" s="1"/>
  <c r="I13" i="24"/>
  <c r="J13" i="24" s="1"/>
  <c r="I12" i="24"/>
  <c r="J12" i="24" s="1"/>
  <c r="J10" i="25"/>
  <c r="O10" i="25" s="1"/>
  <c r="N10" i="25"/>
  <c r="I14" i="25"/>
  <c r="N18" i="16"/>
  <c r="L29" i="16"/>
  <c r="I10" i="27"/>
  <c r="J10" i="27" s="1"/>
  <c r="H20" i="27"/>
  <c r="I20" i="27" s="1"/>
  <c r="I31" i="27" s="1"/>
  <c r="H14" i="25"/>
  <c r="H23" i="25" s="1"/>
  <c r="E41" i="23"/>
  <c r="E49" i="23" s="1"/>
  <c r="F41" i="23"/>
  <c r="J17" i="23" s="1"/>
  <c r="F19" i="21"/>
  <c r="B36" i="22"/>
  <c r="E20" i="22"/>
  <c r="E17" i="22"/>
  <c r="D14" i="22"/>
  <c r="C14" i="22"/>
  <c r="F13" i="22"/>
  <c r="F12" i="22"/>
  <c r="H12" i="22" s="1"/>
  <c r="F11" i="22"/>
  <c r="F10" i="22"/>
  <c r="F9" i="22"/>
  <c r="E7" i="22"/>
  <c r="D7" i="22"/>
  <c r="L19" i="27" l="1"/>
  <c r="L10" i="27"/>
  <c r="O10" i="27"/>
  <c r="I9" i="24"/>
  <c r="J9" i="24" s="1"/>
  <c r="G9" i="24" s="1"/>
  <c r="I10" i="24"/>
  <c r="J10" i="24" s="1"/>
  <c r="G10" i="24" s="1"/>
  <c r="I14" i="24"/>
  <c r="J14" i="24" s="1"/>
  <c r="I17" i="24"/>
  <c r="J17" i="24" s="1"/>
  <c r="H46" i="24"/>
  <c r="F47" i="24"/>
  <c r="G47" i="24" s="1"/>
  <c r="G15" i="21"/>
  <c r="F33" i="21"/>
  <c r="E33" i="21" s="1"/>
  <c r="N14" i="25"/>
  <c r="M14" i="25"/>
  <c r="L9" i="27"/>
  <c r="L20" i="27" s="1"/>
  <c r="L31" i="27" s="1"/>
  <c r="J9" i="25"/>
  <c r="O9" i="25" s="1"/>
  <c r="O14" i="25" s="1"/>
  <c r="F49" i="23"/>
  <c r="N41" i="23"/>
  <c r="I9" i="23" s="1"/>
  <c r="E50" i="23"/>
  <c r="N50" i="23" s="1"/>
  <c r="N49" i="23"/>
  <c r="N38" i="23"/>
  <c r="O19" i="23"/>
  <c r="G10" i="21"/>
  <c r="G13" i="21"/>
  <c r="G17" i="21"/>
  <c r="G9" i="21"/>
  <c r="H9" i="21" s="1"/>
  <c r="G14" i="21"/>
  <c r="G12" i="21"/>
  <c r="E32" i="21"/>
  <c r="F32" i="21"/>
  <c r="F34" i="21" s="1"/>
  <c r="E34" i="21" s="1"/>
  <c r="G16" i="21"/>
  <c r="H11" i="22"/>
  <c r="H17" i="21"/>
  <c r="G11" i="21"/>
  <c r="G18" i="21"/>
  <c r="F14" i="22"/>
  <c r="M5" i="20"/>
  <c r="E3" i="20"/>
  <c r="M3" i="20"/>
  <c r="E5" i="20"/>
  <c r="E6" i="20"/>
  <c r="M6" i="20"/>
  <c r="E7" i="20"/>
  <c r="F9" i="20"/>
  <c r="G14" i="20"/>
  <c r="B21" i="20"/>
  <c r="M6" i="19"/>
  <c r="M5" i="19"/>
  <c r="M3" i="19"/>
  <c r="G14" i="19"/>
  <c r="E3" i="19"/>
  <c r="B21" i="19"/>
  <c r="F9" i="19"/>
  <c r="E7" i="19"/>
  <c r="E6" i="19"/>
  <c r="E5" i="19"/>
  <c r="B21" i="18"/>
  <c r="F9" i="18"/>
  <c r="E7" i="18"/>
  <c r="E6" i="18"/>
  <c r="E5" i="18"/>
  <c r="E3" i="18"/>
  <c r="F27" i="22" l="1"/>
  <c r="F29" i="22" s="1"/>
  <c r="I18" i="24"/>
  <c r="J18" i="24" s="1"/>
  <c r="L9" i="24"/>
  <c r="L18" i="24" s="1"/>
  <c r="N18" i="24" s="1"/>
  <c r="N20" i="27"/>
  <c r="G9" i="22"/>
  <c r="E28" i="22"/>
  <c r="E35" i="21"/>
  <c r="E44" i="21" s="1"/>
  <c r="E46" i="21" s="1"/>
  <c r="I18" i="23"/>
  <c r="J18" i="23" s="1"/>
  <c r="I10" i="23"/>
  <c r="J10" i="23" s="1"/>
  <c r="I13" i="23"/>
  <c r="J13" i="23" s="1"/>
  <c r="I17" i="23"/>
  <c r="I12" i="23"/>
  <c r="J12" i="23" s="1"/>
  <c r="I14" i="23"/>
  <c r="J14" i="23" s="1"/>
  <c r="I16" i="23"/>
  <c r="J16" i="23" s="1"/>
  <c r="I15" i="23"/>
  <c r="J15" i="23" s="1"/>
  <c r="I11" i="23"/>
  <c r="J11" i="23" s="1"/>
  <c r="F50" i="23"/>
  <c r="J50" i="23" s="1"/>
  <c r="J49" i="23"/>
  <c r="F35" i="21"/>
  <c r="E45" i="21" s="1"/>
  <c r="H18" i="21"/>
  <c r="M9" i="19"/>
  <c r="G19" i="21"/>
  <c r="G25" i="21" s="1"/>
  <c r="H10" i="21"/>
  <c r="G10" i="22"/>
  <c r="M9" i="20"/>
  <c r="E9" i="20"/>
  <c r="E9" i="19"/>
  <c r="E9" i="18"/>
  <c r="F30" i="22" l="1"/>
  <c r="E40" i="22" s="1"/>
  <c r="E27" i="22"/>
  <c r="N14" i="23"/>
  <c r="L14" i="23"/>
  <c r="N13" i="23"/>
  <c r="L13" i="23"/>
  <c r="N16" i="23"/>
  <c r="L16" i="23"/>
  <c r="L10" i="23"/>
  <c r="N10" i="23"/>
  <c r="N12" i="23"/>
  <c r="L12" i="23"/>
  <c r="N11" i="23"/>
  <c r="L11" i="23"/>
  <c r="I19" i="23"/>
  <c r="J9" i="23"/>
  <c r="L17" i="23"/>
  <c r="N17" i="23"/>
  <c r="L15" i="23"/>
  <c r="N15" i="23"/>
  <c r="L18" i="23"/>
  <c r="N18" i="23"/>
  <c r="H19" i="21"/>
  <c r="M35" i="21"/>
  <c r="E47" i="21"/>
  <c r="F38" i="21" s="1"/>
  <c r="E41" i="21"/>
  <c r="E49" i="21" s="1"/>
  <c r="G14" i="22"/>
  <c r="G20" i="22" s="1"/>
  <c r="G8" i="18"/>
  <c r="C13" i="18"/>
  <c r="D13" i="18" s="1"/>
  <c r="D14" i="18"/>
  <c r="C14" i="18"/>
  <c r="C13" i="19"/>
  <c r="C12" i="19"/>
  <c r="D13" i="19"/>
  <c r="H14" i="19"/>
  <c r="G5" i="20"/>
  <c r="G3" i="20"/>
  <c r="G8" i="20"/>
  <c r="C12" i="20"/>
  <c r="D12" i="20"/>
  <c r="H14" i="20"/>
  <c r="C13" i="20"/>
  <c r="G7" i="20"/>
  <c r="D13" i="20"/>
  <c r="G6" i="20"/>
  <c r="D12" i="19"/>
  <c r="C14" i="19" s="1"/>
  <c r="G8" i="19"/>
  <c r="G3" i="19"/>
  <c r="G5" i="19"/>
  <c r="G6" i="19"/>
  <c r="G7" i="19"/>
  <c r="D12" i="18"/>
  <c r="G6" i="18"/>
  <c r="C12" i="18"/>
  <c r="C15" i="18"/>
  <c r="C25" i="18" s="1"/>
  <c r="G3" i="18"/>
  <c r="G5" i="18"/>
  <c r="G7" i="18"/>
  <c r="E42" i="22" l="1"/>
  <c r="F33" i="22" s="1"/>
  <c r="E29" i="22"/>
  <c r="E30" i="22" s="1"/>
  <c r="E44" i="22" s="1"/>
  <c r="F40" i="21"/>
  <c r="F39" i="21"/>
  <c r="F41" i="21" s="1"/>
  <c r="N9" i="23"/>
  <c r="N19" i="23" s="1"/>
  <c r="O29" i="23" s="1"/>
  <c r="L9" i="23"/>
  <c r="E50" i="21"/>
  <c r="N50" i="21" s="1"/>
  <c r="O19" i="21"/>
  <c r="N49" i="21"/>
  <c r="N38" i="21"/>
  <c r="D14" i="19"/>
  <c r="D15" i="19" s="1"/>
  <c r="C26" i="19" s="1"/>
  <c r="C27" i="19" s="1"/>
  <c r="C14" i="20"/>
  <c r="C15" i="20" s="1"/>
  <c r="D14" i="20"/>
  <c r="E14" i="20" s="1"/>
  <c r="G13" i="20"/>
  <c r="G9" i="20"/>
  <c r="C15" i="19"/>
  <c r="C25" i="19" s="1"/>
  <c r="G13" i="19"/>
  <c r="G9" i="19"/>
  <c r="D15" i="18"/>
  <c r="C26" i="18" s="1"/>
  <c r="C27" i="18" s="1"/>
  <c r="D19" i="18" s="1"/>
  <c r="C19" i="18" s="1"/>
  <c r="G9" i="18"/>
  <c r="E14" i="18"/>
  <c r="I35" i="22" l="1"/>
  <c r="E45" i="22"/>
  <c r="E47" i="22" s="1"/>
  <c r="E39" i="22"/>
  <c r="E41" i="22" s="1"/>
  <c r="N41" i="21"/>
  <c r="I9" i="21" s="1"/>
  <c r="J9" i="21" s="1"/>
  <c r="E14" i="19"/>
  <c r="F49" i="21"/>
  <c r="D15" i="20"/>
  <c r="C26" i="20" s="1"/>
  <c r="C27" i="20" s="1"/>
  <c r="C25" i="20"/>
  <c r="D19" i="19"/>
  <c r="C19" i="19" s="1"/>
  <c r="D18" i="19"/>
  <c r="D20" i="19"/>
  <c r="C20" i="19" s="1"/>
  <c r="D20" i="18"/>
  <c r="C20" i="18" s="1"/>
  <c r="D18" i="18"/>
  <c r="C18" i="18" s="1"/>
  <c r="F34" i="22" l="1"/>
  <c r="F35" i="22"/>
  <c r="I11" i="21"/>
  <c r="J11" i="21" s="1"/>
  <c r="N11" i="21" s="1"/>
  <c r="I14" i="21"/>
  <c r="J14" i="21" s="1"/>
  <c r="L14" i="21" s="1"/>
  <c r="I13" i="21"/>
  <c r="J13" i="21" s="1"/>
  <c r="N13" i="21" s="1"/>
  <c r="I12" i="21"/>
  <c r="J12" i="21" s="1"/>
  <c r="N12" i="21" s="1"/>
  <c r="I16" i="21"/>
  <c r="J16" i="21" s="1"/>
  <c r="N16" i="21" s="1"/>
  <c r="I17" i="21"/>
  <c r="J17" i="21" s="1"/>
  <c r="I15" i="21"/>
  <c r="J15" i="21" s="1"/>
  <c r="N15" i="21" s="1"/>
  <c r="I18" i="21"/>
  <c r="J18" i="21" s="1"/>
  <c r="L9" i="21"/>
  <c r="N9" i="21"/>
  <c r="I10" i="21"/>
  <c r="J10" i="21" s="1"/>
  <c r="N14" i="21"/>
  <c r="J49" i="21"/>
  <c r="F50" i="21"/>
  <c r="J50" i="21" s="1"/>
  <c r="D18" i="20"/>
  <c r="D19" i="20"/>
  <c r="C19" i="20" s="1"/>
  <c r="D20" i="20"/>
  <c r="C20" i="20" s="1"/>
  <c r="D21" i="19"/>
  <c r="C18" i="19"/>
  <c r="C21" i="19" s="1"/>
  <c r="C29" i="19" s="1"/>
  <c r="C30" i="19" s="1"/>
  <c r="C21" i="18"/>
  <c r="C29" i="18" s="1"/>
  <c r="C30" i="18" s="1"/>
  <c r="D21" i="18"/>
  <c r="D29" i="18" s="1"/>
  <c r="N18" i="21" l="1"/>
  <c r="L18" i="21"/>
  <c r="F36" i="22"/>
  <c r="L12" i="21"/>
  <c r="L13" i="21"/>
  <c r="L11" i="21"/>
  <c r="I19" i="21"/>
  <c r="L16" i="21"/>
  <c r="L15" i="21"/>
  <c r="N17" i="21"/>
  <c r="L17" i="21"/>
  <c r="N10" i="21"/>
  <c r="L10" i="21"/>
  <c r="C18" i="20"/>
  <c r="C21" i="20" s="1"/>
  <c r="C29" i="20" s="1"/>
  <c r="C30" i="20" s="1"/>
  <c r="D21" i="20"/>
  <c r="D29" i="19"/>
  <c r="G21" i="19"/>
  <c r="G21" i="18"/>
  <c r="H7" i="18" s="1"/>
  <c r="I7" i="18" s="1"/>
  <c r="J7" i="18" s="1"/>
  <c r="H5" i="18"/>
  <c r="I5" i="18" s="1"/>
  <c r="J5" i="18" s="1"/>
  <c r="D30" i="18"/>
  <c r="E30" i="18" s="1"/>
  <c r="E29" i="18"/>
  <c r="J36" i="22" l="1"/>
  <c r="F44" i="22"/>
  <c r="H35" i="22"/>
  <c r="N19" i="21"/>
  <c r="O29" i="21" s="1"/>
  <c r="G21" i="20"/>
  <c r="D29" i="20"/>
  <c r="H3" i="19"/>
  <c r="H8" i="19"/>
  <c r="I8" i="19" s="1"/>
  <c r="H7" i="19"/>
  <c r="I7" i="19" s="1"/>
  <c r="H6" i="19"/>
  <c r="I6" i="19" s="1"/>
  <c r="J6" i="19" s="1"/>
  <c r="K6" i="19" s="1"/>
  <c r="H5" i="19"/>
  <c r="I5" i="19" s="1"/>
  <c r="J5" i="19" s="1"/>
  <c r="K5" i="19" s="1"/>
  <c r="D30" i="19"/>
  <c r="E30" i="19" s="1"/>
  <c r="E29" i="19"/>
  <c r="H3" i="18"/>
  <c r="H8" i="18"/>
  <c r="I8" i="18" s="1"/>
  <c r="H6" i="18"/>
  <c r="I6" i="18" s="1"/>
  <c r="J6" i="18" s="1"/>
  <c r="F45" i="22" l="1"/>
  <c r="J45" i="22" s="1"/>
  <c r="J44" i="22"/>
  <c r="H9" i="22"/>
  <c r="H10" i="22"/>
  <c r="I10" i="22" s="1"/>
  <c r="J10" i="22" s="1"/>
  <c r="D30" i="20"/>
  <c r="E30" i="20" s="1"/>
  <c r="E29" i="20"/>
  <c r="H5" i="20"/>
  <c r="I5" i="20" s="1"/>
  <c r="J5" i="20" s="1"/>
  <c r="K5" i="20" s="1"/>
  <c r="H7" i="20"/>
  <c r="I7" i="20" s="1"/>
  <c r="H6" i="20"/>
  <c r="I6" i="20" s="1"/>
  <c r="J6" i="20" s="1"/>
  <c r="K6" i="20" s="1"/>
  <c r="H8" i="20"/>
  <c r="I8" i="20" s="1"/>
  <c r="H3" i="20"/>
  <c r="I3" i="19"/>
  <c r="H9" i="19"/>
  <c r="H9" i="18"/>
  <c r="I3" i="18"/>
  <c r="I9" i="18" s="1"/>
  <c r="J3" i="18"/>
  <c r="I9" i="22" l="1"/>
  <c r="J9" i="22" s="1"/>
  <c r="H14" i="22"/>
  <c r="K7" i="20"/>
  <c r="H9" i="20"/>
  <c r="I3" i="20"/>
  <c r="J3" i="19"/>
  <c r="K3" i="19" s="1"/>
  <c r="K9" i="19" s="1"/>
  <c r="I9" i="19"/>
  <c r="I14" i="22" l="1"/>
  <c r="M14" i="22" s="1"/>
  <c r="I9" i="20"/>
  <c r="J3" i="20"/>
  <c r="K3" i="20" s="1"/>
  <c r="K9" i="20" s="1"/>
  <c r="F12" i="3" l="1"/>
  <c r="F11" i="3"/>
  <c r="F10" i="3"/>
  <c r="F9" i="3"/>
  <c r="H12" i="3" l="1"/>
  <c r="H11" i="3"/>
  <c r="H10" i="3"/>
  <c r="H9" i="3"/>
  <c r="I43" i="3"/>
  <c r="D14" i="3"/>
  <c r="D7" i="3"/>
  <c r="I40" i="3" l="1"/>
  <c r="I41" i="3"/>
  <c r="I42" i="3"/>
  <c r="H14" i="3"/>
  <c r="I32" i="3"/>
  <c r="G34" i="7"/>
  <c r="G33" i="7"/>
  <c r="G33" i="6"/>
  <c r="D33" i="5"/>
  <c r="D43" i="4"/>
  <c r="D44" i="4"/>
  <c r="D42" i="4"/>
  <c r="F27" i="3" l="1"/>
  <c r="I25" i="3" s="1"/>
  <c r="G14" i="3"/>
  <c r="G20" i="3" s="1"/>
  <c r="H50" i="15"/>
  <c r="D46" i="15"/>
  <c r="B45" i="15"/>
  <c r="H45" i="15" s="1"/>
  <c r="D44" i="15"/>
  <c r="H44" i="15" s="1"/>
  <c r="H43" i="15"/>
  <c r="H42" i="15"/>
  <c r="D39" i="15"/>
  <c r="H38" i="15"/>
  <c r="E37" i="15"/>
  <c r="H36" i="15"/>
  <c r="H32" i="15"/>
  <c r="D28" i="15"/>
  <c r="F27" i="15"/>
  <c r="F28" i="15" s="1"/>
  <c r="D25" i="15"/>
  <c r="F24" i="15"/>
  <c r="F25" i="15" s="1"/>
  <c r="G22" i="15"/>
  <c r="D22" i="15"/>
  <c r="C22" i="15"/>
  <c r="F21" i="15"/>
  <c r="F20" i="15"/>
  <c r="F19" i="15"/>
  <c r="F18" i="15"/>
  <c r="I18" i="15" s="1"/>
  <c r="F17" i="15"/>
  <c r="I17" i="15" s="1"/>
  <c r="F16" i="15"/>
  <c r="I16" i="15" s="1"/>
  <c r="I15" i="15"/>
  <c r="G14" i="15"/>
  <c r="D14" i="15"/>
  <c r="F13" i="15"/>
  <c r="I13" i="15" s="1"/>
  <c r="F12" i="15"/>
  <c r="I12" i="15" s="1"/>
  <c r="F11" i="15"/>
  <c r="I11" i="15" s="1"/>
  <c r="F10" i="15"/>
  <c r="I10" i="15" s="1"/>
  <c r="F9" i="15"/>
  <c r="D7" i="15"/>
  <c r="F6" i="15"/>
  <c r="F5" i="15"/>
  <c r="F4" i="15"/>
  <c r="F3" i="15"/>
  <c r="J31" i="14"/>
  <c r="I31" i="14"/>
  <c r="F30" i="14"/>
  <c r="J21" i="14"/>
  <c r="J27" i="14" s="1"/>
  <c r="K20" i="14"/>
  <c r="H19" i="14"/>
  <c r="M18" i="14"/>
  <c r="M17" i="14"/>
  <c r="M16" i="14"/>
  <c r="F8" i="14"/>
  <c r="F7" i="14"/>
  <c r="F5" i="14"/>
  <c r="F4" i="14"/>
  <c r="K3" i="14"/>
  <c r="F3" i="14"/>
  <c r="C24" i="13"/>
  <c r="B21" i="13"/>
  <c r="C15" i="13"/>
  <c r="E7" i="13"/>
  <c r="G7" i="13" s="1"/>
  <c r="E6" i="13"/>
  <c r="G6" i="13" s="1"/>
  <c r="E5" i="13"/>
  <c r="G5" i="13" s="1"/>
  <c r="E4" i="13"/>
  <c r="G4" i="13" s="1"/>
  <c r="E3" i="13"/>
  <c r="B18" i="12"/>
  <c r="F5" i="12"/>
  <c r="E3" i="12"/>
  <c r="E5" i="12" s="1"/>
  <c r="C17" i="12" s="1"/>
  <c r="B44" i="11"/>
  <c r="C27" i="11"/>
  <c r="E26" i="11"/>
  <c r="E27" i="11" s="1"/>
  <c r="C24" i="11"/>
  <c r="E23" i="11"/>
  <c r="E24" i="11" s="1"/>
  <c r="C21" i="11"/>
  <c r="E20" i="11"/>
  <c r="E19" i="11"/>
  <c r="E18" i="11"/>
  <c r="E17" i="11"/>
  <c r="E16" i="11"/>
  <c r="E15" i="11"/>
  <c r="C13" i="11"/>
  <c r="E12" i="11"/>
  <c r="E11" i="11"/>
  <c r="E10" i="11"/>
  <c r="E9" i="11"/>
  <c r="C7" i="11"/>
  <c r="E6" i="11"/>
  <c r="E5" i="11"/>
  <c r="E4" i="11"/>
  <c r="E3" i="11"/>
  <c r="B48" i="10"/>
  <c r="H46" i="10"/>
  <c r="H52" i="10" s="1"/>
  <c r="E40" i="10"/>
  <c r="D31" i="10"/>
  <c r="F30" i="10"/>
  <c r="F31" i="10" s="1"/>
  <c r="D28" i="10"/>
  <c r="F27" i="10"/>
  <c r="F28" i="10" s="1"/>
  <c r="G25" i="10"/>
  <c r="D25" i="10"/>
  <c r="C25" i="10"/>
  <c r="F24" i="10"/>
  <c r="F23" i="10"/>
  <c r="F22" i="10"/>
  <c r="F21" i="10"/>
  <c r="F20" i="10"/>
  <c r="F19" i="10"/>
  <c r="G17" i="10"/>
  <c r="D17" i="10"/>
  <c r="D35" i="10" s="1"/>
  <c r="F16" i="10"/>
  <c r="F15" i="10"/>
  <c r="F14" i="10"/>
  <c r="F13" i="10"/>
  <c r="F12" i="10"/>
  <c r="F11" i="10"/>
  <c r="F10" i="10"/>
  <c r="H10" i="10" s="1"/>
  <c r="F9" i="10"/>
  <c r="D7" i="10"/>
  <c r="F6" i="10"/>
  <c r="F5" i="10"/>
  <c r="F4" i="10"/>
  <c r="F3" i="10"/>
  <c r="H52" i="9"/>
  <c r="B45" i="9"/>
  <c r="D44" i="9"/>
  <c r="D45" i="9" s="1"/>
  <c r="D39" i="9"/>
  <c r="E38" i="9"/>
  <c r="E37" i="9"/>
  <c r="E36" i="9"/>
  <c r="D28" i="9"/>
  <c r="F27" i="9"/>
  <c r="F28" i="9" s="1"/>
  <c r="D25" i="9"/>
  <c r="F24" i="9"/>
  <c r="F25" i="9" s="1"/>
  <c r="G22" i="9"/>
  <c r="D22" i="9"/>
  <c r="C22" i="9"/>
  <c r="F21" i="9"/>
  <c r="F20" i="9"/>
  <c r="F19" i="9"/>
  <c r="F18" i="9"/>
  <c r="F17" i="9"/>
  <c r="F16" i="9"/>
  <c r="G14" i="9"/>
  <c r="D14" i="9"/>
  <c r="F13" i="9"/>
  <c r="F12" i="9"/>
  <c r="F11" i="9"/>
  <c r="F10" i="9"/>
  <c r="F9" i="9"/>
  <c r="D7" i="9"/>
  <c r="F6" i="9"/>
  <c r="F5" i="9"/>
  <c r="F4" i="9"/>
  <c r="F3" i="9"/>
  <c r="B45" i="8"/>
  <c r="H45" i="8" s="1"/>
  <c r="E37" i="8"/>
  <c r="D28" i="8"/>
  <c r="F27" i="8"/>
  <c r="F28" i="8" s="1"/>
  <c r="D25" i="8"/>
  <c r="F24" i="8"/>
  <c r="F25" i="8" s="1"/>
  <c r="G22" i="8"/>
  <c r="D22" i="8"/>
  <c r="C22" i="8"/>
  <c r="F21" i="8"/>
  <c r="F20" i="8"/>
  <c r="F19" i="8"/>
  <c r="F18" i="8"/>
  <c r="F17" i="8"/>
  <c r="F16" i="8"/>
  <c r="G14" i="8"/>
  <c r="D14" i="8"/>
  <c r="F13" i="8"/>
  <c r="F12" i="8"/>
  <c r="F11" i="8"/>
  <c r="F10" i="8"/>
  <c r="F9" i="8"/>
  <c r="D7" i="8"/>
  <c r="F6" i="8"/>
  <c r="F5" i="8"/>
  <c r="F4" i="8"/>
  <c r="F3" i="8"/>
  <c r="F51" i="7"/>
  <c r="B36" i="7"/>
  <c r="G35" i="7"/>
  <c r="H34" i="7"/>
  <c r="D39" i="7"/>
  <c r="G32" i="7"/>
  <c r="H29" i="7"/>
  <c r="G29" i="7"/>
  <c r="E28" i="7"/>
  <c r="G27" i="7"/>
  <c r="D19" i="7"/>
  <c r="D16" i="7"/>
  <c r="F13" i="7"/>
  <c r="D13" i="7"/>
  <c r="C13" i="7"/>
  <c r="E12" i="7"/>
  <c r="G12" i="7" s="1"/>
  <c r="E11" i="7"/>
  <c r="G11" i="7" s="1"/>
  <c r="E10" i="7"/>
  <c r="E13" i="7" s="1"/>
  <c r="F8" i="7"/>
  <c r="C8" i="7"/>
  <c r="E7" i="7"/>
  <c r="G7" i="7" s="1"/>
  <c r="E6" i="7"/>
  <c r="G6" i="7" s="1"/>
  <c r="E5" i="7"/>
  <c r="G5" i="7" s="1"/>
  <c r="E4" i="7"/>
  <c r="F51" i="6"/>
  <c r="H43" i="6"/>
  <c r="H38" i="6"/>
  <c r="H37" i="6"/>
  <c r="D36" i="6"/>
  <c r="G38" i="6" s="1"/>
  <c r="B36" i="6"/>
  <c r="G35" i="6"/>
  <c r="H34" i="6"/>
  <c r="H40" i="6" s="1"/>
  <c r="G34" i="6"/>
  <c r="G32" i="6"/>
  <c r="H29" i="6"/>
  <c r="E28" i="6"/>
  <c r="G26" i="6"/>
  <c r="D19" i="6"/>
  <c r="D16" i="6"/>
  <c r="F13" i="6"/>
  <c r="C13" i="6"/>
  <c r="E12" i="6"/>
  <c r="G12" i="6" s="1"/>
  <c r="E11" i="6"/>
  <c r="G11" i="6" s="1"/>
  <c r="E10" i="6"/>
  <c r="F8" i="6"/>
  <c r="C8" i="6"/>
  <c r="C21" i="6" s="1"/>
  <c r="E7" i="6"/>
  <c r="G7" i="6" s="1"/>
  <c r="E6" i="6"/>
  <c r="G6" i="6" s="1"/>
  <c r="E5" i="6"/>
  <c r="G5" i="6" s="1"/>
  <c r="E4" i="6"/>
  <c r="F51" i="5"/>
  <c r="B36" i="5"/>
  <c r="G35" i="5"/>
  <c r="D35" i="5"/>
  <c r="H38" i="5" s="1"/>
  <c r="H34" i="5"/>
  <c r="H39" i="5" s="1"/>
  <c r="G34" i="5"/>
  <c r="D34" i="5"/>
  <c r="G33" i="5"/>
  <c r="G32" i="5"/>
  <c r="H29" i="5"/>
  <c r="G29" i="5"/>
  <c r="D29" i="5" s="1"/>
  <c r="E28" i="5"/>
  <c r="G27" i="5"/>
  <c r="D27" i="5" s="1"/>
  <c r="D19" i="5"/>
  <c r="D16" i="5"/>
  <c r="F13" i="5"/>
  <c r="C13" i="5"/>
  <c r="E12" i="5"/>
  <c r="G12" i="5" s="1"/>
  <c r="E11" i="5"/>
  <c r="G11" i="5" s="1"/>
  <c r="E10" i="5"/>
  <c r="F8" i="5"/>
  <c r="C8" i="5"/>
  <c r="E7" i="5"/>
  <c r="G7" i="5" s="1"/>
  <c r="E6" i="5"/>
  <c r="G6" i="5" s="1"/>
  <c r="E5" i="5"/>
  <c r="E4" i="5"/>
  <c r="G4" i="5" s="1"/>
  <c r="F60" i="4"/>
  <c r="H52" i="4"/>
  <c r="H47" i="4"/>
  <c r="H46" i="4"/>
  <c r="B45" i="4"/>
  <c r="G44" i="4"/>
  <c r="H43" i="4"/>
  <c r="H48" i="4" s="1"/>
  <c r="G43" i="4"/>
  <c r="G42" i="4"/>
  <c r="G41" i="4"/>
  <c r="H38" i="4"/>
  <c r="G38" i="4"/>
  <c r="D38" i="4" s="1"/>
  <c r="E37" i="4"/>
  <c r="G36" i="4"/>
  <c r="D36" i="4" s="1"/>
  <c r="D28" i="4"/>
  <c r="D25" i="4"/>
  <c r="F22" i="4"/>
  <c r="C22" i="4"/>
  <c r="G21" i="4"/>
  <c r="G20" i="4"/>
  <c r="G19" i="4"/>
  <c r="E18" i="4"/>
  <c r="G18" i="4" s="1"/>
  <c r="E17" i="4"/>
  <c r="G17" i="4" s="1"/>
  <c r="E16" i="4"/>
  <c r="F14" i="4"/>
  <c r="F30" i="4" s="1"/>
  <c r="C14" i="4"/>
  <c r="C30" i="4" s="1"/>
  <c r="E13" i="4"/>
  <c r="E12" i="4"/>
  <c r="G12" i="4" s="1"/>
  <c r="E11" i="4"/>
  <c r="G11" i="4" s="1"/>
  <c r="E10" i="4"/>
  <c r="G10" i="4" s="1"/>
  <c r="E9" i="4"/>
  <c r="D7" i="4"/>
  <c r="G51" i="3"/>
  <c r="B36" i="3"/>
  <c r="J38" i="3"/>
  <c r="J34" i="3"/>
  <c r="J40" i="3" s="1"/>
  <c r="I34" i="3"/>
  <c r="J37" i="3"/>
  <c r="I33" i="3"/>
  <c r="J29" i="3"/>
  <c r="F28" i="3"/>
  <c r="E20" i="3"/>
  <c r="E17" i="3"/>
  <c r="F13" i="3"/>
  <c r="I12" i="3"/>
  <c r="I11" i="3"/>
  <c r="I10" i="3"/>
  <c r="E7" i="3"/>
  <c r="F60" i="2"/>
  <c r="B45" i="2"/>
  <c r="H43" i="2"/>
  <c r="H48" i="2" s="1"/>
  <c r="G41" i="2"/>
  <c r="H38" i="2"/>
  <c r="G38" i="2"/>
  <c r="E37" i="2"/>
  <c r="D28" i="2"/>
  <c r="D25" i="2"/>
  <c r="F22" i="2"/>
  <c r="D22" i="2"/>
  <c r="C22" i="2"/>
  <c r="G21" i="2"/>
  <c r="G20" i="2"/>
  <c r="G19" i="2"/>
  <c r="E18" i="2"/>
  <c r="G18" i="2" s="1"/>
  <c r="E17" i="2"/>
  <c r="G17" i="2" s="1"/>
  <c r="E16" i="2"/>
  <c r="G16" i="2" s="1"/>
  <c r="F14" i="2"/>
  <c r="C14" i="2"/>
  <c r="C30" i="2" s="1"/>
  <c r="E13" i="2"/>
  <c r="E12" i="2"/>
  <c r="G12" i="2" s="1"/>
  <c r="E11" i="2"/>
  <c r="G11" i="2" s="1"/>
  <c r="E10" i="2"/>
  <c r="E9" i="2"/>
  <c r="G9" i="2" s="1"/>
  <c r="D7" i="2"/>
  <c r="B18" i="1"/>
  <c r="E3" i="1"/>
  <c r="E5" i="1" s="1"/>
  <c r="C17" i="1" s="1"/>
  <c r="F19" i="6" l="1"/>
  <c r="C21" i="7"/>
  <c r="F7" i="10"/>
  <c r="H41" i="5"/>
  <c r="E13" i="6"/>
  <c r="E39" i="9"/>
  <c r="F7" i="15"/>
  <c r="I44" i="3"/>
  <c r="F14" i="3"/>
  <c r="E27" i="3" s="1"/>
  <c r="E21" i="11"/>
  <c r="H53" i="10"/>
  <c r="F7" i="9"/>
  <c r="F29" i="3"/>
  <c r="F30" i="3" s="1"/>
  <c r="E40" i="3" s="1"/>
  <c r="D30" i="2"/>
  <c r="F30" i="2"/>
  <c r="F21" i="6"/>
  <c r="D46" i="9"/>
  <c r="G33" i="10"/>
  <c r="E13" i="11"/>
  <c r="E14" i="2"/>
  <c r="F7" i="8"/>
  <c r="F22" i="9"/>
  <c r="G30" i="15"/>
  <c r="C9" i="12"/>
  <c r="C12" i="12" s="1"/>
  <c r="D45" i="15"/>
  <c r="D30" i="8"/>
  <c r="D9" i="12"/>
  <c r="D11" i="12" s="1"/>
  <c r="D12" i="12" s="1"/>
  <c r="D36" i="5"/>
  <c r="H41" i="6"/>
  <c r="G10" i="6"/>
  <c r="D33" i="10"/>
  <c r="E8" i="13"/>
  <c r="C19" i="13" s="1"/>
  <c r="G10" i="2"/>
  <c r="F23" i="3"/>
  <c r="E29" i="3" s="1"/>
  <c r="I26" i="3" s="1"/>
  <c r="E8" i="6"/>
  <c r="F19" i="7"/>
  <c r="C29" i="11"/>
  <c r="G10" i="5"/>
  <c r="G25" i="5" s="1"/>
  <c r="G30" i="5" s="1"/>
  <c r="E13" i="5"/>
  <c r="G16" i="4"/>
  <c r="E22" i="4"/>
  <c r="D30" i="9"/>
  <c r="D30" i="5"/>
  <c r="H36" i="5" s="1"/>
  <c r="E22" i="2"/>
  <c r="E30" i="2" s="1"/>
  <c r="H49" i="2"/>
  <c r="H39" i="6"/>
  <c r="F22" i="8"/>
  <c r="F14" i="9"/>
  <c r="G30" i="9"/>
  <c r="H51" i="10"/>
  <c r="D29" i="6"/>
  <c r="D27" i="6"/>
  <c r="E8" i="7"/>
  <c r="E21" i="7" s="1"/>
  <c r="E23" i="7" s="1"/>
  <c r="D29" i="7" s="1"/>
  <c r="D33" i="7"/>
  <c r="D35" i="7"/>
  <c r="H38" i="7" s="1"/>
  <c r="F9" i="14"/>
  <c r="I13" i="14" s="1"/>
  <c r="E8" i="5"/>
  <c r="G10" i="7"/>
  <c r="F28" i="2"/>
  <c r="E14" i="4"/>
  <c r="G14" i="4" s="1"/>
  <c r="H50" i="2"/>
  <c r="H40" i="5"/>
  <c r="F14" i="8"/>
  <c r="F30" i="8" s="1"/>
  <c r="F32" i="8" s="1"/>
  <c r="G9" i="4"/>
  <c r="G34" i="4" s="1"/>
  <c r="G39" i="4" s="1"/>
  <c r="F28" i="4"/>
  <c r="J39" i="3"/>
  <c r="E36" i="3"/>
  <c r="J43" i="3"/>
  <c r="G30" i="8"/>
  <c r="D30" i="15"/>
  <c r="F17" i="10"/>
  <c r="F19" i="5"/>
  <c r="F21" i="5"/>
  <c r="H43" i="5"/>
  <c r="H37" i="5"/>
  <c r="D9" i="1"/>
  <c r="C15" i="1"/>
  <c r="C16" i="1"/>
  <c r="C9" i="1"/>
  <c r="G34" i="2"/>
  <c r="G39" i="2" s="1"/>
  <c r="G5" i="5"/>
  <c r="G3" i="13"/>
  <c r="G8" i="13" s="1"/>
  <c r="M26" i="14"/>
  <c r="J23" i="14"/>
  <c r="G3" i="1"/>
  <c r="G5" i="1" s="1"/>
  <c r="G14" i="2"/>
  <c r="D34" i="7"/>
  <c r="C20" i="12"/>
  <c r="C16" i="12"/>
  <c r="C19" i="12"/>
  <c r="C15" i="12"/>
  <c r="F30" i="15"/>
  <c r="F22" i="15"/>
  <c r="F14" i="15"/>
  <c r="I9" i="15"/>
  <c r="H50" i="4"/>
  <c r="H49" i="4"/>
  <c r="C11" i="1"/>
  <c r="J41" i="3"/>
  <c r="D39" i="4"/>
  <c r="H45" i="4" s="1"/>
  <c r="D45" i="4"/>
  <c r="H40" i="7"/>
  <c r="H39" i="7"/>
  <c r="F25" i="10"/>
  <c r="C21" i="5"/>
  <c r="H41" i="7"/>
  <c r="E7" i="11"/>
  <c r="G4" i="6"/>
  <c r="F21" i="7"/>
  <c r="D48" i="15"/>
  <c r="I9" i="3"/>
  <c r="G4" i="7"/>
  <c r="E21" i="6" l="1"/>
  <c r="E23" i="6" s="1"/>
  <c r="E29" i="11"/>
  <c r="E31" i="11" s="1"/>
  <c r="D30" i="6"/>
  <c r="H36" i="6" s="1"/>
  <c r="G8" i="7"/>
  <c r="E32" i="2"/>
  <c r="C12" i="1"/>
  <c r="F30" i="9"/>
  <c r="F32" i="9" s="1"/>
  <c r="D52" i="9" s="1"/>
  <c r="D53" i="9" s="1"/>
  <c r="F33" i="10"/>
  <c r="F35" i="10" s="1"/>
  <c r="E39" i="10" s="1"/>
  <c r="G25" i="6"/>
  <c r="M27" i="14"/>
  <c r="M28" i="14" s="1"/>
  <c r="E21" i="5"/>
  <c r="E23" i="5" s="1"/>
  <c r="I28" i="3"/>
  <c r="E32" i="4"/>
  <c r="D52" i="4" s="1"/>
  <c r="C18" i="12"/>
  <c r="C25" i="12" s="1"/>
  <c r="C26" i="12" s="1"/>
  <c r="D14" i="13"/>
  <c r="D15" i="13" s="1"/>
  <c r="C25" i="13" s="1"/>
  <c r="C26" i="13" s="1"/>
  <c r="D18" i="13" s="1"/>
  <c r="E27" i="6"/>
  <c r="E29" i="6" s="1"/>
  <c r="E30" i="6" s="1"/>
  <c r="D40" i="6" s="1"/>
  <c r="D41" i="6" s="1"/>
  <c r="C20" i="13"/>
  <c r="G8" i="5"/>
  <c r="G25" i="7"/>
  <c r="G30" i="7" s="1"/>
  <c r="C18" i="1"/>
  <c r="C18" i="13"/>
  <c r="G8" i="6"/>
  <c r="D27" i="7"/>
  <c r="D30" i="7" s="1"/>
  <c r="C22" i="12"/>
  <c r="C23" i="12" s="1"/>
  <c r="D11" i="1"/>
  <c r="D12" i="1" s="1"/>
  <c r="D35" i="11"/>
  <c r="D37" i="11" s="1"/>
  <c r="C35" i="11"/>
  <c r="D36" i="7"/>
  <c r="F32" i="15"/>
  <c r="I14" i="15"/>
  <c r="I14" i="3"/>
  <c r="H43" i="7"/>
  <c r="H37" i="7"/>
  <c r="F31" i="14"/>
  <c r="F33" i="14"/>
  <c r="J25" i="14"/>
  <c r="L25" i="14" s="1"/>
  <c r="E36" i="8"/>
  <c r="D38" i="8" s="1"/>
  <c r="D36" i="8"/>
  <c r="E27" i="7"/>
  <c r="D39" i="10" l="1"/>
  <c r="D42" i="10" s="1"/>
  <c r="D51" i="10" s="1"/>
  <c r="D43" i="6"/>
  <c r="D44" i="6" s="1"/>
  <c r="D49" i="9"/>
  <c r="D50" i="9" s="1"/>
  <c r="E44" i="9" s="1"/>
  <c r="H39" i="10"/>
  <c r="C23" i="1"/>
  <c r="C24" i="1" s="1"/>
  <c r="E34" i="6"/>
  <c r="E33" i="6"/>
  <c r="E35" i="6"/>
  <c r="C21" i="13"/>
  <c r="C28" i="13" s="1"/>
  <c r="C29" i="13" s="1"/>
  <c r="D43" i="5"/>
  <c r="D44" i="5" s="1"/>
  <c r="E27" i="5"/>
  <c r="E43" i="9"/>
  <c r="E39" i="5"/>
  <c r="E30" i="3"/>
  <c r="I27" i="3"/>
  <c r="I29" i="3"/>
  <c r="D19" i="13"/>
  <c r="D39" i="8"/>
  <c r="D48" i="8" s="1"/>
  <c r="D42" i="8" s="1"/>
  <c r="D20" i="13"/>
  <c r="E36" i="4"/>
  <c r="E38" i="4" s="1"/>
  <c r="E39" i="4" s="1"/>
  <c r="D49" i="4" s="1"/>
  <c r="H36" i="7"/>
  <c r="D43" i="7"/>
  <c r="E29" i="7"/>
  <c r="E30" i="7" s="1"/>
  <c r="D40" i="7" s="1"/>
  <c r="C20" i="1"/>
  <c r="C21" i="1" s="1"/>
  <c r="I24" i="3"/>
  <c r="D52" i="15"/>
  <c r="E36" i="15"/>
  <c r="D38" i="11"/>
  <c r="I17" i="14"/>
  <c r="I18" i="14"/>
  <c r="F34" i="14"/>
  <c r="F36" i="14" s="1"/>
  <c r="I33" i="14"/>
  <c r="I16" i="14"/>
  <c r="H36" i="8"/>
  <c r="C37" i="11"/>
  <c r="C38" i="11" s="1"/>
  <c r="D53" i="4"/>
  <c r="D15" i="12"/>
  <c r="D16" i="12"/>
  <c r="D17" i="12"/>
  <c r="E38" i="8"/>
  <c r="E39" i="8" s="1"/>
  <c r="E41" i="10"/>
  <c r="E42" i="10" s="1"/>
  <c r="E42" i="9" l="1"/>
  <c r="H48" i="10"/>
  <c r="E36" i="6"/>
  <c r="E43" i="6" s="1"/>
  <c r="D43" i="8"/>
  <c r="D21" i="13"/>
  <c r="D28" i="13" s="1"/>
  <c r="D29" i="13" s="1"/>
  <c r="E29" i="13" s="1"/>
  <c r="E28" i="13"/>
  <c r="D44" i="8"/>
  <c r="D45" i="8" s="1"/>
  <c r="D52" i="8" s="1"/>
  <c r="E29" i="5"/>
  <c r="E30" i="5" s="1"/>
  <c r="D40" i="5" s="1"/>
  <c r="D41" i="5" s="1"/>
  <c r="E33" i="5" s="1"/>
  <c r="E45" i="9"/>
  <c r="E52" i="9" s="1"/>
  <c r="J36" i="3"/>
  <c r="E43" i="3"/>
  <c r="E44" i="3" s="1"/>
  <c r="D49" i="8"/>
  <c r="D50" i="8" s="1"/>
  <c r="D52" i="10"/>
  <c r="D53" i="10" s="1"/>
  <c r="D50" i="4"/>
  <c r="E43" i="4" s="1"/>
  <c r="I19" i="14"/>
  <c r="J28" i="14"/>
  <c r="L16" i="14"/>
  <c r="K16" i="14"/>
  <c r="E44" i="6"/>
  <c r="F44" i="6" s="1"/>
  <c r="F43" i="6"/>
  <c r="L17" i="14"/>
  <c r="K17" i="14"/>
  <c r="D41" i="7"/>
  <c r="E33" i="7" s="1"/>
  <c r="C47" i="11"/>
  <c r="D44" i="7"/>
  <c r="D46" i="7"/>
  <c r="D16" i="1"/>
  <c r="D15" i="1"/>
  <c r="D17" i="1"/>
  <c r="D18" i="12"/>
  <c r="D25" i="12" s="1"/>
  <c r="D53" i="15"/>
  <c r="E38" i="15"/>
  <c r="E39" i="15" s="1"/>
  <c r="L18" i="14"/>
  <c r="K18" i="14"/>
  <c r="C48" i="11"/>
  <c r="C49" i="11" s="1"/>
  <c r="E34" i="5" l="1"/>
  <c r="E35" i="5"/>
  <c r="E53" i="9"/>
  <c r="F53" i="9" s="1"/>
  <c r="F52" i="9"/>
  <c r="E41" i="3"/>
  <c r="D49" i="15"/>
  <c r="D50" i="15" s="1"/>
  <c r="K19" i="14"/>
  <c r="I21" i="14"/>
  <c r="E47" i="10"/>
  <c r="D47" i="10"/>
  <c r="H50" i="10" s="1"/>
  <c r="E46" i="10"/>
  <c r="E45" i="10"/>
  <c r="E48" i="10" s="1"/>
  <c r="E55" i="10" s="1"/>
  <c r="E56" i="10" s="1"/>
  <c r="D45" i="10"/>
  <c r="D46" i="10"/>
  <c r="H49" i="10" s="1"/>
  <c r="D41" i="11"/>
  <c r="D42" i="11"/>
  <c r="D43" i="11"/>
  <c r="C43" i="11"/>
  <c r="C42" i="11"/>
  <c r="C41" i="11"/>
  <c r="C44" i="11" s="1"/>
  <c r="C51" i="11" s="1"/>
  <c r="F42" i="8"/>
  <c r="F44" i="8"/>
  <c r="F43" i="8"/>
  <c r="D53" i="8"/>
  <c r="D18" i="1"/>
  <c r="D23" i="1" s="1"/>
  <c r="E35" i="7"/>
  <c r="E34" i="7"/>
  <c r="E36" i="5"/>
  <c r="E43" i="5" s="1"/>
  <c r="L26" i="14"/>
  <c r="D26" i="12"/>
  <c r="E26" i="12" s="1"/>
  <c r="E25" i="12"/>
  <c r="E42" i="4"/>
  <c r="E44" i="4"/>
  <c r="E44" i="8"/>
  <c r="E42" i="8"/>
  <c r="E43" i="8"/>
  <c r="D48" i="10" l="1"/>
  <c r="D55" i="10" s="1"/>
  <c r="D56" i="10" s="1"/>
  <c r="E36" i="7"/>
  <c r="E43" i="7" s="1"/>
  <c r="F43" i="7" s="1"/>
  <c r="E45" i="4"/>
  <c r="E52" i="4" s="1"/>
  <c r="I23" i="14"/>
  <c r="I28" i="14" s="1"/>
  <c r="L21" i="14"/>
  <c r="K21" i="14"/>
  <c r="K26" i="14" s="1"/>
  <c r="E23" i="1"/>
  <c r="D24" i="1"/>
  <c r="E24" i="1" s="1"/>
  <c r="E45" i="8"/>
  <c r="E52" i="8" s="1"/>
  <c r="E44" i="15"/>
  <c r="E43" i="15"/>
  <c r="E42" i="15"/>
  <c r="D44" i="11"/>
  <c r="D51" i="11" s="1"/>
  <c r="D52" i="11" s="1"/>
  <c r="C52" i="11"/>
  <c r="E44" i="5"/>
  <c r="F44" i="5" s="1"/>
  <c r="F43" i="5"/>
  <c r="F34" i="3"/>
  <c r="F33" i="3"/>
  <c r="F35" i="3"/>
  <c r="E52" i="11" l="1"/>
  <c r="E51" i="11"/>
  <c r="F36" i="3"/>
  <c r="F43" i="3" s="1"/>
  <c r="M21" i="14"/>
  <c r="L24" i="14"/>
  <c r="E48" i="15"/>
  <c r="E45" i="15"/>
  <c r="E52" i="15" s="1"/>
  <c r="K23" i="14"/>
  <c r="L23" i="14"/>
  <c r="F52" i="8"/>
  <c r="E53" i="8"/>
  <c r="F53" i="8" s="1"/>
  <c r="E44" i="7"/>
  <c r="F44" i="7" s="1"/>
  <c r="E53" i="4"/>
  <c r="F53" i="4" s="1"/>
  <c r="F52" i="4"/>
  <c r="E53" i="15" l="1"/>
  <c r="F53" i="15" s="1"/>
  <c r="F52" i="15"/>
  <c r="G43" i="3"/>
  <c r="F44" i="3"/>
  <c r="G44" i="3" s="1"/>
  <c r="E36" i="2"/>
  <c r="D36" i="2" l="1"/>
  <c r="E38" i="2"/>
  <c r="E39" i="2" s="1"/>
  <c r="D49" i="2" s="1"/>
  <c r="D50" i="2" s="1"/>
  <c r="D38" i="2"/>
  <c r="E42" i="2" l="1"/>
  <c r="E44" i="2"/>
  <c r="E43" i="2"/>
  <c r="D39" i="2"/>
  <c r="E45" i="2" l="1"/>
  <c r="E52" i="2" s="1"/>
  <c r="D44" i="2"/>
  <c r="H47" i="2" s="1"/>
  <c r="D42" i="2"/>
  <c r="D43" i="2"/>
  <c r="H45" i="2"/>
  <c r="D48" i="2"/>
  <c r="E53" i="2" l="1"/>
  <c r="H46" i="2"/>
  <c r="H52" i="2"/>
  <c r="D45" i="2"/>
  <c r="D52" i="2" s="1"/>
  <c r="D53" i="2" s="1"/>
  <c r="F52" i="2" l="1"/>
  <c r="F53" i="2"/>
  <c r="J46" i="17" l="1"/>
  <c r="F41" i="17"/>
  <c r="F40" i="17" l="1"/>
  <c r="J42" i="17" l="1"/>
  <c r="F51" i="17"/>
  <c r="J51" i="17" s="1"/>
  <c r="H14" i="17"/>
  <c r="I14" i="17" s="1"/>
  <c r="J14" i="17" s="1"/>
  <c r="L14" i="17" l="1"/>
  <c r="Q14" i="17"/>
  <c r="H11" i="17"/>
  <c r="I11" i="17" s="1"/>
  <c r="J11" i="17" s="1"/>
  <c r="H19" i="17"/>
  <c r="J50" i="17"/>
  <c r="H18" i="17"/>
  <c r="I18" i="17" s="1"/>
  <c r="J18" i="17" s="1"/>
  <c r="I19" i="17"/>
  <c r="J19" i="17" s="1"/>
  <c r="H12" i="17"/>
  <c r="I12" i="17" s="1"/>
  <c r="J12" i="17" s="1"/>
  <c r="H15" i="17"/>
  <c r="I15" i="17" s="1"/>
  <c r="J15" i="17" s="1"/>
  <c r="H13" i="17"/>
  <c r="I13" i="17" s="1"/>
  <c r="J13" i="17" s="1"/>
  <c r="H17" i="17"/>
  <c r="I17" i="17" s="1"/>
  <c r="J17" i="17" s="1"/>
  <c r="H10" i="17"/>
  <c r="I10" i="17" s="1"/>
  <c r="I9" i="17"/>
  <c r="J9" i="17" s="1"/>
  <c r="H16" i="17"/>
  <c r="I16" i="17" s="1"/>
  <c r="J16" i="17" s="1"/>
  <c r="Q10" i="17" l="1"/>
  <c r="L19" i="17"/>
  <c r="Q19" i="17"/>
  <c r="L18" i="17"/>
  <c r="Q18" i="17"/>
  <c r="L11" i="17"/>
  <c r="Q11" i="17"/>
  <c r="L12" i="17"/>
  <c r="Q12" i="17"/>
  <c r="L16" i="17"/>
  <c r="Q16" i="17"/>
  <c r="L17" i="17"/>
  <c r="Q17" i="17"/>
  <c r="L13" i="17"/>
  <c r="Q13" i="17"/>
  <c r="L15" i="17"/>
  <c r="Q15" i="17"/>
  <c r="I20" i="17"/>
  <c r="H20" i="17"/>
  <c r="H31" i="17" s="1"/>
  <c r="L10" i="17" l="1"/>
  <c r="N10" i="17" s="1"/>
  <c r="I31" i="17"/>
  <c r="L9" i="17"/>
  <c r="L20" i="17" s="1"/>
  <c r="L31" i="17" s="1"/>
  <c r="N20" i="17" l="1"/>
  <c r="D37" i="30" l="1"/>
  <c r="E37" i="30" s="1"/>
  <c r="D46" i="30"/>
  <c r="E46" i="30" s="1"/>
  <c r="D45" i="30"/>
  <c r="E45" i="30" s="1"/>
  <c r="D50" i="30"/>
  <c r="E50" i="30" s="1"/>
  <c r="D49" i="30"/>
  <c r="E49" i="30" s="1"/>
  <c r="D56" i="30"/>
  <c r="E56" i="30" s="1"/>
  <c r="D53" i="30"/>
  <c r="E53" i="30" s="1"/>
  <c r="D44" i="30"/>
  <c r="E44" i="30" s="1"/>
  <c r="D41" i="30"/>
  <c r="E41" i="30" s="1"/>
  <c r="D42" i="30"/>
  <c r="E42" i="30" s="1"/>
  <c r="D39" i="30"/>
  <c r="E39" i="30" s="1"/>
  <c r="D54" i="30"/>
  <c r="E54" i="30" s="1"/>
  <c r="D52" i="30"/>
  <c r="E52" i="30" s="1"/>
  <c r="D55" i="30"/>
  <c r="E55" i="30" s="1"/>
  <c r="D43" i="30"/>
  <c r="E43" i="30" s="1"/>
  <c r="D51" i="30"/>
  <c r="E51" i="30" s="1"/>
  <c r="D48" i="30"/>
  <c r="E48" i="30" s="1"/>
  <c r="D47" i="30"/>
  <c r="E47" i="30" s="1"/>
  <c r="D40" i="30"/>
  <c r="E40" i="30" s="1"/>
  <c r="D38" i="30"/>
  <c r="E38" i="30" s="1"/>
  <c r="E57" i="30" l="1"/>
  <c r="B30" i="30" s="1"/>
  <c r="F59" i="30" l="1"/>
  <c r="F60" i="30"/>
  <c r="B31" i="30"/>
  <c r="B29" i="30"/>
  <c r="B32" i="30" l="1"/>
  <c r="G32" i="30" l="1"/>
</calcChain>
</file>

<file path=xl/comments1.xml><?xml version="1.0" encoding="utf-8"?>
<comments xmlns="http://schemas.openxmlformats.org/spreadsheetml/2006/main">
  <authors>
    <author>Domingos</author>
  </authors>
  <commentList>
    <comment ref="I35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E34 + E40</t>
        </r>
      </text>
    </comment>
    <comment ref="E37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
</t>
        </r>
      </text>
    </comment>
    <comment ref="E38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39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40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correta do erro material</t>
        </r>
      </text>
    </comment>
    <comment ref="E46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valor igual da proposta 712.608,96 e diferente da soma de F18+E34+E40</t>
        </r>
      </text>
    </comment>
  </commentList>
</comments>
</file>

<file path=xl/sharedStrings.xml><?xml version="1.0" encoding="utf-8"?>
<sst xmlns="http://schemas.openxmlformats.org/spreadsheetml/2006/main" count="1528" uniqueCount="286">
  <si>
    <t>Instituto de Medicina e Projeto</t>
  </si>
  <si>
    <t>PROCEDIMENTO</t>
  </si>
  <si>
    <t>Valor Unitário</t>
  </si>
  <si>
    <t>Qte Estimada Mês</t>
  </si>
  <si>
    <t>Total Estimado Mês</t>
  </si>
  <si>
    <t>Nº Mês</t>
  </si>
  <si>
    <t>Total Estimado Ano</t>
  </si>
  <si>
    <t>Pré e Pós Operatória e Cir. Bariátrica</t>
  </si>
  <si>
    <t>Subtotal Mensal - Custo Operacional</t>
  </si>
  <si>
    <t>ALÍQUOTA</t>
  </si>
  <si>
    <t>EMPRESA</t>
  </si>
  <si>
    <t>FS</t>
  </si>
  <si>
    <t>Outros Custos Mensal</t>
  </si>
  <si>
    <t>R$</t>
  </si>
  <si>
    <t>Custos Indiretos (5%)</t>
  </si>
  <si>
    <t>Seguro Acidente</t>
  </si>
  <si>
    <t>Lucro (8%)</t>
  </si>
  <si>
    <t>Subtotal</t>
  </si>
  <si>
    <t>Tributos</t>
  </si>
  <si>
    <t>Pis</t>
  </si>
  <si>
    <t>Cofins</t>
  </si>
  <si>
    <t>ISS (5%)</t>
  </si>
  <si>
    <t>CUSTOS OPERAC.  + PIS + COFINS</t>
  </si>
  <si>
    <t>BC = PIS/COFINS</t>
  </si>
  <si>
    <t>COMPARATIVO</t>
  </si>
  <si>
    <t>DIFERENÇA</t>
  </si>
  <si>
    <t>TOTAL MENSAL DO CONTRATO</t>
  </si>
  <si>
    <t>TOTAL SEMESTRAL DO CONTRATO</t>
  </si>
  <si>
    <t>FUNÇÕES</t>
  </si>
  <si>
    <t>Horas /Mês</t>
  </si>
  <si>
    <t xml:space="preserve">Valor da Hora </t>
  </si>
  <si>
    <t>Custo Operacional Mensal</t>
  </si>
  <si>
    <t>Quantidade profissionais</t>
  </si>
  <si>
    <t>Médico clínico rotina (5x6x7)</t>
  </si>
  <si>
    <t>Médico clínico plantão dia - 12Médico clínico plantão dia (5 x12x7) horas</t>
  </si>
  <si>
    <t>Médico clínico plantão noite (2x12x7)</t>
  </si>
  <si>
    <t>Coordenador clínica médica (1x6x5)</t>
  </si>
  <si>
    <t>Total horas medicina clínica</t>
  </si>
  <si>
    <t>IECAC</t>
  </si>
  <si>
    <t xml:space="preserve">Médico intensivista rotina </t>
  </si>
  <si>
    <t xml:space="preserve">Médico intensivista plantão </t>
  </si>
  <si>
    <t>Médico Coordenador</t>
  </si>
  <si>
    <t>Médico Assistente</t>
  </si>
  <si>
    <t>TOTAL IECAC</t>
  </si>
  <si>
    <t>HEMORIO</t>
  </si>
  <si>
    <t>Médico neurologista (1x24)</t>
  </si>
  <si>
    <t>Médico cirurgião plástico (1x24)</t>
  </si>
  <si>
    <t>Médico infectologista (2x24)</t>
  </si>
  <si>
    <t>TOTAL HEMORIO</t>
  </si>
  <si>
    <t>Médico plantonista (1x24x7)</t>
  </si>
  <si>
    <t>Total horas TIH</t>
  </si>
  <si>
    <t>Médico socorrista (2x24x7)</t>
  </si>
  <si>
    <t>Total horas emergência</t>
  </si>
  <si>
    <t>TOTAL</t>
  </si>
  <si>
    <t xml:space="preserve">Custos Indiretos </t>
  </si>
  <si>
    <t>Lucro</t>
  </si>
  <si>
    <t>CSLL</t>
  </si>
  <si>
    <t>IRPJ</t>
  </si>
  <si>
    <t>BC EMPRESA PIS/COFINS/ISS</t>
  </si>
  <si>
    <t>CAL. FS CUSTOS OPERAC.  + PIS + COFINS</t>
  </si>
  <si>
    <t>BC PIS/COFINS</t>
  </si>
  <si>
    <t>HYGEA GESTÃO &amp; SAÚDE LTDA</t>
  </si>
  <si>
    <t>AJ2 Soluções Logísticas e Saúde Ltda</t>
  </si>
  <si>
    <t>Horas / Semanas</t>
  </si>
  <si>
    <t>Hora / Mês</t>
  </si>
  <si>
    <t>Valor da Hora R$</t>
  </si>
  <si>
    <t>Qte prof.</t>
  </si>
  <si>
    <t>IETAP</t>
  </si>
  <si>
    <t>Médico intensivista CTI</t>
  </si>
  <si>
    <t>Médico intensivista plantão  CTI</t>
  </si>
  <si>
    <t>Médico Plantonista Enfermaria</t>
  </si>
  <si>
    <t>Médico Rotina 30 hs</t>
  </si>
  <si>
    <t>Total horas intensivista</t>
  </si>
  <si>
    <t>IEIS</t>
  </si>
  <si>
    <t>Total horas pareceristas</t>
  </si>
  <si>
    <t xml:space="preserve"> </t>
  </si>
  <si>
    <t>SALUS – Serviços Médicos e Diagnósticos Ltda</t>
  </si>
  <si>
    <t>CSLL + IRPJ</t>
  </si>
  <si>
    <t xml:space="preserve">DIMPI Gestão em Saúde Ltda </t>
  </si>
  <si>
    <t>Médico Intensivista - Rotina (1x12x7)</t>
  </si>
  <si>
    <t>Médico Intensivista - Plantonista (1x24x7)</t>
  </si>
  <si>
    <t>Médico Clínica Médica - Plantonista (1x12x7)</t>
  </si>
  <si>
    <t>Médico Clínica Médica - Rotina 30 horas (1x6x5)</t>
  </si>
  <si>
    <t>Médico Intensivista - Rotina (2x12x7</t>
  </si>
  <si>
    <t>Médico Intensivista - Plantonista (2x24x7)</t>
  </si>
  <si>
    <t>Médico Coordenador 30 horas (1x6x5)</t>
  </si>
  <si>
    <t>FUNDAÇÃO SAÚDE</t>
  </si>
  <si>
    <t>-</t>
  </si>
  <si>
    <t>Médico intensivista rotina (4x12x7)</t>
  </si>
  <si>
    <t>Médico intensivista plantão (4x24x7)</t>
  </si>
  <si>
    <t>Coordenador intensivista CTI 1 (1x6x5)</t>
  </si>
  <si>
    <t>Coordenador intensivista CTI 2 e UI (1x6x5)</t>
  </si>
  <si>
    <t>Médico cardiologista (3x12)</t>
  </si>
  <si>
    <t>Médico ecocardiografista/doppler arterial e venoso - (3x12) com equipamento</t>
  </si>
  <si>
    <t>Médico cirurgião torácico/broncoscopista (1x24) com equipamento</t>
  </si>
  <si>
    <t>Qtde Prof.</t>
  </si>
  <si>
    <t>(15+10)%</t>
  </si>
  <si>
    <t>FVS Centro Integrado de Vídeo Cirurgia LTDA</t>
  </si>
  <si>
    <t>Qte Mês</t>
  </si>
  <si>
    <t>Total Estimado                6 Meses</t>
  </si>
  <si>
    <t>Cirugião</t>
  </si>
  <si>
    <t>Primeiro Auxiliar</t>
  </si>
  <si>
    <t>Segundo Auxiliar</t>
  </si>
  <si>
    <t>Instrumentador</t>
  </si>
  <si>
    <t>Anestesista</t>
  </si>
  <si>
    <t xml:space="preserve">Lucro </t>
  </si>
  <si>
    <t>POSIÇÃO</t>
  </si>
  <si>
    <t>REGIME DE PLANTÃO (H)</t>
  </si>
  <si>
    <t>QUANTIDADE</t>
  </si>
  <si>
    <t>TOTAL DE HORAS MENSAIS</t>
  </si>
  <si>
    <t>VALOR HORA BRUTA (R$)</t>
  </si>
  <si>
    <t>VALOR</t>
  </si>
  <si>
    <t>CTI</t>
  </si>
  <si>
    <t>Plantonista DDS</t>
  </si>
  <si>
    <t>Plantonista FDS</t>
  </si>
  <si>
    <t>ROTINA</t>
  </si>
  <si>
    <t>ENFERMARIA</t>
  </si>
  <si>
    <t>ROTINA CM</t>
  </si>
  <si>
    <t>COORDENADOR</t>
  </si>
  <si>
    <t xml:space="preserve">UTI </t>
  </si>
  <si>
    <t>VALOR ANEXO</t>
  </si>
  <si>
    <t>CORRETO</t>
  </si>
  <si>
    <t>TRIBUTO</t>
  </si>
  <si>
    <t>%</t>
  </si>
  <si>
    <t>VALOR (R$)</t>
  </si>
  <si>
    <t>DIFERENÇA (R$)</t>
  </si>
  <si>
    <t>PIS</t>
  </si>
  <si>
    <t>COFINS</t>
  </si>
  <si>
    <t>ISS</t>
  </si>
  <si>
    <t>SOMA</t>
  </si>
  <si>
    <t>OUTROS ENCARGOS</t>
  </si>
  <si>
    <t>PRAZO EM MESES</t>
  </si>
  <si>
    <t>CUSTOS OPERAC</t>
  </si>
  <si>
    <t>RESULT/BONIFIC</t>
  </si>
  <si>
    <t>TRIBUTO PIS = ALÍQUOTA PIS X (VALOR CUSTOS / (1 - SOMA ALÍQ.))</t>
  </si>
  <si>
    <t>Médico intensivista CTI (1X12X7)</t>
  </si>
  <si>
    <t>Médico intensivista plantão  CTI (1X24X7)</t>
  </si>
  <si>
    <t>Médico Plantonista Enfermaria (1X12X7)</t>
  </si>
  <si>
    <t>Médico Rotina 30 hs (1X6X5)</t>
  </si>
  <si>
    <t>Médico Coordenador (1X6X5)</t>
  </si>
  <si>
    <t>Médico intensivista rotina CTI (2X12X7)</t>
  </si>
  <si>
    <t>Médico intensivista plantão CTI (2X24X7)</t>
  </si>
  <si>
    <t>Alíquota</t>
  </si>
  <si>
    <t>Empresa</t>
  </si>
  <si>
    <t>Fundação Saúde</t>
  </si>
  <si>
    <t xml:space="preserve">ISS </t>
  </si>
  <si>
    <t>Outros</t>
  </si>
  <si>
    <t>Diferença</t>
  </si>
  <si>
    <t>TOTAL - Custo Operacional</t>
  </si>
  <si>
    <t>Salus Serviços Médicos e Diagnósticos Ltda</t>
  </si>
  <si>
    <t>BRAND Serviços Médicos Eireli</t>
  </si>
  <si>
    <t>ISS (máximo 5%)</t>
  </si>
  <si>
    <t>ISSA Semedic Eireli ME</t>
  </si>
  <si>
    <t xml:space="preserve">Hora/Mês Total </t>
  </si>
  <si>
    <t>Custo Total</t>
  </si>
  <si>
    <t>INSS (SEGURADO)</t>
  </si>
  <si>
    <t>OUTROS (SIMPLES)</t>
  </si>
  <si>
    <t>TOTAL ANUAL DO CONTRATO</t>
  </si>
  <si>
    <t>HYPNOS - LOTE 7</t>
  </si>
  <si>
    <t>Médico Clínico</t>
  </si>
  <si>
    <t>Médico Anestesiologista</t>
  </si>
  <si>
    <t>Hora/Mês</t>
  </si>
  <si>
    <t>Valor Hora</t>
  </si>
  <si>
    <t>Qte Prof.</t>
  </si>
  <si>
    <t>Coordenação Médica</t>
  </si>
  <si>
    <t>DOM WOLMOR LOTE 2</t>
  </si>
  <si>
    <t>FUNÇÃO</t>
  </si>
  <si>
    <t>Nº ESTIMATIVO MENSAL</t>
  </si>
  <si>
    <t>VR. UNIT. EXAME/LAUDO</t>
  </si>
  <si>
    <t>ULTRA</t>
  </si>
  <si>
    <t>FUNÇÃO ASPIRATIVA</t>
  </si>
  <si>
    <t>BIOPSIA CORE</t>
  </si>
  <si>
    <t>VALOR TOTAL HS</t>
  </si>
  <si>
    <t>DOM WOLMOR LOTE 5</t>
  </si>
  <si>
    <t>ECOCARDIOGRAMA</t>
  </si>
  <si>
    <t>DOPPLER VASCULAR</t>
  </si>
  <si>
    <t>% Custos</t>
  </si>
  <si>
    <t>Valor Hora Apurado</t>
  </si>
  <si>
    <t>Funções</t>
  </si>
  <si>
    <t>Médico Obstetra Plantão 24 hs</t>
  </si>
  <si>
    <t>MORAES E SOEIRO L 2</t>
  </si>
  <si>
    <t>Médico UTI Pediatrica plantonista</t>
  </si>
  <si>
    <t>Médico UTI Pediatrica Intens.Rotina Diurno</t>
  </si>
  <si>
    <t>Médico USI Pediatrica plantonista</t>
  </si>
  <si>
    <t>Médico USI Pediatrica Intens.Rotina Diurno</t>
  </si>
  <si>
    <t>Médico Pediata Sala de Parto</t>
  </si>
  <si>
    <t>Médico Pediata Alojamento Conjunto Rotina</t>
  </si>
  <si>
    <t>Médico Pediata Alojam Conjunto Plantão 12s diurno</t>
  </si>
  <si>
    <t>Médico Pediata Ambulatório</t>
  </si>
  <si>
    <t>Médico Pediata Coordenação</t>
  </si>
  <si>
    <t>Médico Cirugia Pediata</t>
  </si>
  <si>
    <t>Médico Endocrinologis</t>
  </si>
  <si>
    <t>Médico Ginecologia</t>
  </si>
  <si>
    <t>Médico Oftalm. Inc.Equipproc.Cirurgico(Amb e Beira Leito)</t>
  </si>
  <si>
    <t>Valor Unitário Total da Hora (Empresa)</t>
  </si>
  <si>
    <r>
      <t xml:space="preserve">Valor Unitário Total da Hora          </t>
    </r>
    <r>
      <rPr>
        <b/>
        <u val="singleAccounting"/>
        <sz val="8"/>
        <color rgb="FF000000"/>
        <rFont val="Times New Roman"/>
        <family val="1"/>
      </rPr>
      <t>(FS)</t>
    </r>
  </si>
  <si>
    <t/>
  </si>
  <si>
    <t>Rateio dos encargos e Tributos</t>
  </si>
  <si>
    <t>Valor total da Hora com C.Operac, Encargos e Tributos - EMPRESA</t>
  </si>
  <si>
    <t>Valor total da Hora com C.Operac, Encargos e Tributos FS</t>
  </si>
  <si>
    <t>Valor total da Hora com C.Operac, Encargos e Tributos - FS</t>
  </si>
  <si>
    <t>Valor da Hora com C.Operac, Encargos e Tributos FS</t>
  </si>
  <si>
    <t>RATEIO</t>
  </si>
  <si>
    <t>Valor total da Hora com C.Operac, Encargos e Tributos Empresa</t>
  </si>
  <si>
    <t>MORAES E SOEIRO L 08</t>
  </si>
  <si>
    <t>MORAES E SOEIRO L 03</t>
  </si>
  <si>
    <t>HYPNUS</t>
  </si>
  <si>
    <t>DOM WALMOR L 05</t>
  </si>
  <si>
    <t>LIFECARE L 06</t>
  </si>
  <si>
    <t>DOCTOR VIP - LOTE 01</t>
  </si>
  <si>
    <t>MÉDICO OBSTETRA PLANTÃO 24 HORAS</t>
  </si>
  <si>
    <t>MÉDICO OBSTETRA COORDENAÇÃO</t>
  </si>
  <si>
    <t>MÉDICO CIRURGIA GERAL</t>
  </si>
  <si>
    <t>MÉDICO UTI /UI PEDIATRA PLANTONISTA</t>
  </si>
  <si>
    <t>MÉDICO UTI/UI PEDIATRA INTENSIVISTA ROTINA</t>
  </si>
  <si>
    <t>MÉDICO COORDENAÇÃO NEONATAL</t>
  </si>
  <si>
    <t>MÉDICO PEDIATRA SALA DE PARTO</t>
  </si>
  <si>
    <t>MÉDICO PEDIATRA ALOJAMENTO CONJUNTO ROTINA</t>
  </si>
  <si>
    <t>MÉDICO NEONATOLOGIA AMBULATORIO FOLLOW UP</t>
  </si>
  <si>
    <t>MÉDICO CIRURGIA PEDIATRICA</t>
  </si>
  <si>
    <t>MÉDICO PEDIATRA ALOJ CONJ PLANTÃO 12 H DIA</t>
  </si>
  <si>
    <t>MÉDICO PEDIATRA VISITADOR ALOJ. CONJUNTO</t>
  </si>
  <si>
    <t>Médico Coordenação Ginicológia</t>
  </si>
  <si>
    <t xml:space="preserve">Médico Ginocológia Plantão </t>
  </si>
  <si>
    <t>Médico Obstetra Rotina 3 hs</t>
  </si>
  <si>
    <t>MÉDICO TERAPIA...</t>
  </si>
  <si>
    <t>MÉDICO ANESTESIOLOGIA PLANTÃO</t>
  </si>
  <si>
    <t>MÉDICO ANESTESIOLOGIA (APOIO CIRURGIA GINECOLOGIA)</t>
  </si>
  <si>
    <t>MÉDICO COORDENAÇÃO ANESTESIOLOGIA</t>
  </si>
  <si>
    <t>MÉDICO NEP</t>
  </si>
  <si>
    <t>MÉDICO CCIH</t>
  </si>
  <si>
    <t>MEDICO GINECOLOGIA</t>
  </si>
  <si>
    <t>MEDICO MASTOLOGIA</t>
  </si>
  <si>
    <t>MEDICO OBSTETRA</t>
  </si>
  <si>
    <t>MEDICO ENDOCRINO ADULTO</t>
  </si>
  <si>
    <t>MEDICO ENDOCRINO PEDIATRIA</t>
  </si>
  <si>
    <t>MEDICO CARDIOLOGIA ADULTO</t>
  </si>
  <si>
    <t>MEDICO CARDIOLOGIA PEDIATRA</t>
  </si>
  <si>
    <t>MEDICO ORTOPEDISTA</t>
  </si>
  <si>
    <t>MEDICO COORDENAÇÃO</t>
  </si>
  <si>
    <t>MEDICO OFTALMOLOGIA INCLUSO EQUIPAMENTO......</t>
  </si>
  <si>
    <t>DOCTOR VIP - LOTE 01  (MODELO)</t>
  </si>
  <si>
    <r>
      <t xml:space="preserve">Valor Unitário Total da Hora          </t>
    </r>
    <r>
      <rPr>
        <u val="singleAccounting"/>
        <sz val="8"/>
        <color rgb="FF000000"/>
        <rFont val="Times New Roman"/>
        <family val="1"/>
      </rPr>
      <t>(FS)</t>
    </r>
  </si>
  <si>
    <t>MEDICO NEUROPEDIATRA-PARECER-ECG C/EQUIP..</t>
  </si>
  <si>
    <t>MEDICO ULTRASSONOGRAFIA OBSTETRICA PLANTÃO 24H</t>
  </si>
  <si>
    <t>MEDICO ULTRASSONOGRAFIA OBSTETRICA ROTINA</t>
  </si>
  <si>
    <t>MEDICO ULTRASSONGRAFIA TRANSFONTANELA</t>
  </si>
  <si>
    <t>MEDICO ECOCARDIOGRAFIA ADULTO</t>
  </si>
  <si>
    <t>MEDICO ECOCARDIOGRAFIA NEONATAL</t>
  </si>
  <si>
    <t>MEDICO BIOPSIA GUIADA POR USG</t>
  </si>
  <si>
    <t>MEDICO BIOPSIA GUIADA POR MAMOGRAFIA</t>
  </si>
  <si>
    <t>MEDICO MAMOGRAFIA</t>
  </si>
  <si>
    <t>MEDICO RADIOLOGIA</t>
  </si>
  <si>
    <t>MEDICO ELETROCARDIOGRAMA</t>
  </si>
  <si>
    <t>Valores (R$)</t>
  </si>
  <si>
    <t>HORA BRUTA</t>
  </si>
  <si>
    <t>VALOR MENSAL</t>
  </si>
  <si>
    <t>Hora Líquida/ Mês</t>
  </si>
  <si>
    <t>Total Hora líquida /Mês</t>
  </si>
  <si>
    <t>Custo Indireto</t>
  </si>
  <si>
    <t>Total</t>
  </si>
  <si>
    <t>Percentuais</t>
  </si>
  <si>
    <t>Valor mensal</t>
  </si>
  <si>
    <t>Valor da Hora (Bruta)</t>
  </si>
  <si>
    <t>Valor Mensal (Bruto)</t>
  </si>
  <si>
    <t>A - Percentuais (%)</t>
  </si>
  <si>
    <t>B - Tributação</t>
  </si>
  <si>
    <t>C- DETALHAMENTO</t>
  </si>
  <si>
    <t>D- DETALHAMENTO</t>
  </si>
  <si>
    <t>PROVA REAL (A+B+ C) MENSAL</t>
  </si>
  <si>
    <t>Tributos (B) 
sobre hora</t>
  </si>
  <si>
    <t>Encargos (A) sobre hora</t>
  </si>
  <si>
    <t>Valor da hora bruta /Mês</t>
  </si>
  <si>
    <t>Valor da Hora 
com A+B</t>
  </si>
  <si>
    <t>Proporção</t>
  </si>
  <si>
    <t>Preencher</t>
  </si>
  <si>
    <t>PROVA REAL (A+B+ C- D) MENSAL (= 0)</t>
  </si>
  <si>
    <t>VALOR ANUAL</t>
  </si>
  <si>
    <t>ANUAL</t>
  </si>
  <si>
    <t>LOTE 6 - ORTOPEDIA</t>
  </si>
  <si>
    <t>Médico Ortopedia Coordenação</t>
  </si>
  <si>
    <t>Médico Ortopedia Rotina</t>
  </si>
  <si>
    <t>Médico Ortopedia Plantão</t>
  </si>
  <si>
    <t>Médico Ortopedia Ambulatório</t>
  </si>
  <si>
    <t>Médico Ortopedia Preceptoria</t>
  </si>
  <si>
    <t>Médico Ortopedia Centro Cirúrgico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</si>
</sst>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_-* #,##0.00_-;\-* #,##0.00_-;_-* \-??_-;_-@_-"/>
    <numFmt numFmtId="165" formatCode="#,##0_ ;\-#,##0\ "/>
    <numFmt numFmtId="166" formatCode="0.000%"/>
    <numFmt numFmtId="167" formatCode="_-* #,##0.00000_-;\-* #,##0.00000_-;_-* \-??_-;_-@_-"/>
    <numFmt numFmtId="168" formatCode="_-* #,##0.0000000_-;\-* #,##0.0000000_-;_-* \-??_-;_-@_-"/>
    <numFmt numFmtId="169" formatCode="_-* #,##0.000_-;\-* #,##0.000_-;_-* \-??_-;_-@_-"/>
    <numFmt numFmtId="170" formatCode="0.0000%"/>
    <numFmt numFmtId="171" formatCode="_-* #,##0.0000_-;\-* #,##0.0000_-;_-* \-??_-;_-@_-"/>
    <numFmt numFmtId="172" formatCode="_-* #,##0.000000_-;\-* #,##0.000000_-;_-* \-??_-;_-@_-"/>
    <numFmt numFmtId="173" formatCode="0.00000%"/>
    <numFmt numFmtId="174" formatCode="0.000000%"/>
    <numFmt numFmtId="175" formatCode="0.0000000%"/>
    <numFmt numFmtId="176" formatCode="_-* #,##0_-;\-* #,##0_-;_-* \-??_-;_-@_-"/>
    <numFmt numFmtId="177" formatCode="&quot;R$&quot;\ #,##0.00"/>
    <numFmt numFmtId="178" formatCode="&quot;R$&quot;\ #,##0.0000000"/>
  </numFmts>
  <fonts count="67" x14ac:knownFonts="1">
    <font>
      <sz val="11"/>
      <color rgb="FF000000"/>
      <name val="Calibri"/>
      <family val="2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7"/>
      <color rgb="FF000000"/>
      <name val="Calibri"/>
      <family val="2"/>
      <charset val="1"/>
    </font>
    <font>
      <b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7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sz val="9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6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8"/>
      <color rgb="FF000000"/>
      <name val="Arial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trike/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 val="singleAccounting"/>
      <sz val="8"/>
      <color rgb="FF000000"/>
      <name val="Times New Roman"/>
      <family val="1"/>
    </font>
    <font>
      <sz val="12"/>
      <color rgb="FF000000"/>
      <name val="Times New Roman"/>
      <family val="1"/>
    </font>
    <font>
      <b/>
      <sz val="7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sz val="7"/>
      <color rgb="FF000000"/>
      <name val="Times New Roman"/>
      <family val="1"/>
      <charset val="1"/>
    </font>
    <font>
      <sz val="8"/>
      <color theme="1"/>
      <name val="Arial"/>
      <family val="2"/>
    </font>
    <font>
      <b/>
      <sz val="6"/>
      <color rgb="FF000000"/>
      <name val="Calibri"/>
      <family val="2"/>
      <charset val="1"/>
    </font>
    <font>
      <sz val="6"/>
      <color rgb="FF000000"/>
      <name val="Times New Roman"/>
      <family val="1"/>
      <charset val="1"/>
    </font>
    <font>
      <sz val="8"/>
      <name val="Times New Roman"/>
      <family val="1"/>
    </font>
    <font>
      <sz val="10"/>
      <color rgb="FF000000"/>
      <name val="Times New Roman"/>
      <family val="1"/>
      <charset val="1"/>
    </font>
    <font>
      <sz val="7"/>
      <color rgb="FF000000"/>
      <name val="Times New Roman"/>
      <family val="1"/>
    </font>
    <font>
      <sz val="7"/>
      <color rgb="FFFF0000"/>
      <name val="Times New Roman"/>
      <family val="1"/>
    </font>
    <font>
      <b/>
      <sz val="7"/>
      <color rgb="FFFF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rgb="FFFF0000"/>
      <name val="Calibri"/>
      <family val="2"/>
      <charset val="1"/>
    </font>
    <font>
      <sz val="8"/>
      <color rgb="FF0070C0"/>
      <name val="Times New Roman"/>
      <family val="1"/>
      <charset val="1"/>
    </font>
    <font>
      <sz val="8"/>
      <color rgb="FFFF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8"/>
      <color rgb="FF0070C0"/>
      <name val="Times New Roman"/>
      <family val="1"/>
    </font>
    <font>
      <u val="singleAccounting"/>
      <sz val="8"/>
      <color rgb="FF000000"/>
      <name val="Times New Roman"/>
      <family val="1"/>
    </font>
    <font>
      <sz val="8"/>
      <color rgb="FF000000"/>
      <name val="Calibri"/>
      <family val="2"/>
    </font>
    <font>
      <sz val="8"/>
      <name val="Times New Roman"/>
      <family val="1"/>
      <charset val="1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CECE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9" fillId="0" borderId="0" applyBorder="0" applyProtection="0"/>
    <xf numFmtId="9" fontId="19" fillId="0" borderId="0" applyBorder="0" applyProtection="0"/>
    <xf numFmtId="164" fontId="19" fillId="0" borderId="0" applyBorder="0" applyProtection="0"/>
  </cellStyleXfs>
  <cellXfs count="849">
    <xf numFmtId="0" fontId="0" fillId="0" borderId="0" xfId="0"/>
    <xf numFmtId="164" fontId="0" fillId="0" borderId="0" xfId="1" applyFont="1" applyBorder="1" applyAlignment="1" applyProtection="1"/>
    <xf numFmtId="164" fontId="2" fillId="0" borderId="2" xfId="1" applyFont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 applyProtection="1"/>
    <xf numFmtId="165" fontId="4" fillId="0" borderId="2" xfId="1" applyNumberFormat="1" applyFont="1" applyBorder="1" applyAlignment="1" applyProtection="1">
      <alignment horizontal="center"/>
    </xf>
    <xf numFmtId="165" fontId="4" fillId="2" borderId="2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164" fontId="4" fillId="0" borderId="0" xfId="1" applyFont="1" applyBorder="1" applyAlignment="1" applyProtection="1"/>
    <xf numFmtId="0" fontId="4" fillId="0" borderId="2" xfId="0" applyFont="1" applyBorder="1"/>
    <xf numFmtId="164" fontId="2" fillId="0" borderId="2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/>
    </xf>
    <xf numFmtId="9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0" fontId="4" fillId="0" borderId="0" xfId="0" applyFont="1"/>
    <xf numFmtId="164" fontId="4" fillId="3" borderId="2" xfId="0" applyNumberFormat="1" applyFont="1" applyFill="1" applyBorder="1"/>
    <xf numFmtId="164" fontId="4" fillId="3" borderId="2" xfId="1" applyFont="1" applyFill="1" applyBorder="1" applyAlignment="1" applyProtection="1"/>
    <xf numFmtId="0" fontId="2" fillId="0" borderId="2" xfId="0" applyFont="1" applyBorder="1" applyAlignment="1">
      <alignment horizontal="left"/>
    </xf>
    <xf numFmtId="164" fontId="2" fillId="0" borderId="0" xfId="1" applyFont="1" applyBorder="1" applyAlignment="1" applyProtection="1">
      <alignment horizontal="center"/>
    </xf>
    <xf numFmtId="164" fontId="3" fillId="0" borderId="0" xfId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1" applyNumberFormat="1" applyFont="1" applyBorder="1" applyAlignment="1" applyProtection="1"/>
    <xf numFmtId="164" fontId="5" fillId="0" borderId="0" xfId="1" applyFont="1" applyBorder="1" applyAlignment="1" applyProtection="1"/>
    <xf numFmtId="164" fontId="6" fillId="0" borderId="0" xfId="1" applyFont="1" applyBorder="1" applyAlignment="1" applyProtection="1"/>
    <xf numFmtId="0" fontId="0" fillId="0" borderId="0" xfId="0" applyFont="1"/>
    <xf numFmtId="164" fontId="7" fillId="0" borderId="2" xfId="1" applyFont="1" applyBorder="1" applyAlignment="1" applyProtection="1">
      <alignment horizontal="center" vertical="center" wrapText="1"/>
    </xf>
    <xf numFmtId="0" fontId="7" fillId="0" borderId="2" xfId="1" applyNumberFormat="1" applyFont="1" applyBorder="1" applyAlignment="1" applyProtection="1">
      <alignment horizontal="center" vertical="center" wrapText="1"/>
    </xf>
    <xf numFmtId="164" fontId="6" fillId="0" borderId="0" xfId="1" applyFont="1" applyBorder="1" applyAlignment="1" applyProtection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 wrapText="1"/>
    </xf>
    <xf numFmtId="164" fontId="8" fillId="0" borderId="2" xfId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8" fillId="0" borderId="2" xfId="1" applyNumberFormat="1" applyFont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1" applyNumberFormat="1" applyFont="1" applyBorder="1" applyAlignment="1" applyProtection="1"/>
    <xf numFmtId="164" fontId="8" fillId="0" borderId="2" xfId="1" applyFont="1" applyBorder="1" applyAlignment="1" applyProtection="1"/>
    <xf numFmtId="164" fontId="7" fillId="0" borderId="2" xfId="1" applyFont="1" applyBorder="1" applyAlignment="1" applyProtection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1" applyNumberFormat="1" applyFont="1" applyBorder="1" applyAlignment="1" applyProtection="1"/>
    <xf numFmtId="164" fontId="8" fillId="0" borderId="0" xfId="1" applyFont="1" applyBorder="1" applyAlignment="1" applyProtection="1"/>
    <xf numFmtId="0" fontId="8" fillId="0" borderId="2" xfId="0" applyFont="1" applyBorder="1"/>
    <xf numFmtId="164" fontId="8" fillId="0" borderId="2" xfId="1" applyFont="1" applyBorder="1" applyAlignment="1" applyProtection="1">
      <alignment horizontal="center"/>
    </xf>
    <xf numFmtId="0" fontId="7" fillId="0" borderId="2" xfId="0" applyFont="1" applyBorder="1"/>
    <xf numFmtId="0" fontId="8" fillId="0" borderId="2" xfId="1" applyNumberFormat="1" applyFont="1" applyBorder="1" applyAlignment="1" applyProtection="1">
      <alignment horizontal="center"/>
    </xf>
    <xf numFmtId="166" fontId="8" fillId="0" borderId="2" xfId="0" applyNumberFormat="1" applyFont="1" applyBorder="1" applyAlignment="1">
      <alignment horizontal="center"/>
    </xf>
    <xf numFmtId="167" fontId="8" fillId="0" borderId="0" xfId="1" applyNumberFormat="1" applyFont="1" applyBorder="1" applyAlignment="1" applyProtection="1"/>
    <xf numFmtId="168" fontId="8" fillId="0" borderId="0" xfId="1" applyNumberFormat="1" applyFont="1" applyBorder="1" applyAlignment="1" applyProtection="1"/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169" fontId="6" fillId="0" borderId="0" xfId="1" applyNumberFormat="1" applyFont="1" applyBorder="1" applyAlignment="1" applyProtection="1"/>
    <xf numFmtId="164" fontId="7" fillId="0" borderId="0" xfId="1" applyFont="1" applyBorder="1" applyAlignment="1" applyProtection="1"/>
    <xf numFmtId="164" fontId="7" fillId="2" borderId="2" xfId="1" applyFont="1" applyFill="1" applyBorder="1" applyAlignment="1" applyProtection="1"/>
    <xf numFmtId="164" fontId="7" fillId="2" borderId="2" xfId="1" applyFont="1" applyFill="1" applyBorder="1" applyAlignment="1" applyProtection="1">
      <alignment horizontal="center"/>
    </xf>
    <xf numFmtId="164" fontId="0" fillId="0" borderId="0" xfId="1" applyFont="1" applyBorder="1" applyAlignment="1" applyProtection="1">
      <alignment horizontal="center"/>
    </xf>
    <xf numFmtId="164" fontId="6" fillId="0" borderId="0" xfId="1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164" fontId="5" fillId="0" borderId="0" xfId="1" applyFont="1" applyBorder="1" applyAlignment="1" applyProtection="1">
      <alignment horizontal="center"/>
    </xf>
    <xf numFmtId="164" fontId="0" fillId="2" borderId="0" xfId="1" applyFont="1" applyFill="1" applyBorder="1" applyAlignment="1" applyProtection="1"/>
    <xf numFmtId="164" fontId="11" fillId="0" borderId="0" xfId="1" applyFont="1" applyBorder="1" applyAlignment="1" applyProtection="1"/>
    <xf numFmtId="164" fontId="11" fillId="0" borderId="0" xfId="1" applyFont="1" applyBorder="1" applyAlignment="1" applyProtection="1">
      <alignment horizontal="center" vertical="center"/>
    </xf>
    <xf numFmtId="0" fontId="12" fillId="0" borderId="2" xfId="1" applyNumberFormat="1" applyFont="1" applyBorder="1" applyAlignment="1" applyProtection="1">
      <alignment horizontal="center" vertical="center" wrapText="1"/>
    </xf>
    <xf numFmtId="164" fontId="11" fillId="0" borderId="0" xfId="1" applyFont="1" applyBorder="1" applyAlignment="1" applyProtection="1">
      <alignment horizontal="center"/>
    </xf>
    <xf numFmtId="164" fontId="7" fillId="2" borderId="0" xfId="1" applyFont="1" applyFill="1" applyBorder="1" applyAlignment="1" applyProtection="1"/>
    <xf numFmtId="164" fontId="5" fillId="2" borderId="0" xfId="1" applyFont="1" applyFill="1" applyBorder="1" applyAlignment="1" applyProtection="1"/>
    <xf numFmtId="164" fontId="14" fillId="0" borderId="0" xfId="1" applyFont="1" applyBorder="1" applyAlignment="1" applyProtection="1"/>
    <xf numFmtId="169" fontId="11" fillId="0" borderId="0" xfId="1" applyNumberFormat="1" applyFont="1" applyBorder="1" applyAlignment="1" applyProtection="1"/>
    <xf numFmtId="0" fontId="7" fillId="0" borderId="2" xfId="1" applyNumberFormat="1" applyFont="1" applyBorder="1" applyAlignment="1" applyProtection="1"/>
    <xf numFmtId="164" fontId="7" fillId="0" borderId="2" xfId="1" applyFont="1" applyBorder="1" applyAlignment="1" applyProtection="1">
      <alignment horizontal="center"/>
    </xf>
    <xf numFmtId="0" fontId="7" fillId="0" borderId="2" xfId="1" applyNumberFormat="1" applyFont="1" applyBorder="1" applyAlignment="1" applyProtection="1">
      <alignment horizontal="center"/>
    </xf>
    <xf numFmtId="164" fontId="7" fillId="0" borderId="0" xfId="1" applyFont="1" applyBorder="1" applyAlignment="1" applyProtection="1">
      <alignment horizontal="center"/>
    </xf>
    <xf numFmtId="164" fontId="15" fillId="0" borderId="2" xfId="1" applyFont="1" applyBorder="1" applyAlignment="1" applyProtection="1">
      <alignment horizontal="center"/>
    </xf>
    <xf numFmtId="164" fontId="16" fillId="0" borderId="2" xfId="1" applyFont="1" applyBorder="1" applyAlignment="1" applyProtection="1">
      <alignment horizontal="center"/>
    </xf>
    <xf numFmtId="0" fontId="10" fillId="0" borderId="3" xfId="0" applyFont="1" applyBorder="1" applyAlignment="1">
      <alignment vertical="center"/>
    </xf>
    <xf numFmtId="0" fontId="8" fillId="0" borderId="0" xfId="0" applyFont="1"/>
    <xf numFmtId="164" fontId="8" fillId="0" borderId="2" xfId="0" applyNumberFormat="1" applyFont="1" applyBorder="1"/>
    <xf numFmtId="164" fontId="8" fillId="0" borderId="0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2" xfId="1" applyFont="1" applyBorder="1" applyAlignment="1" applyProtection="1">
      <alignment horizontal="right"/>
    </xf>
    <xf numFmtId="165" fontId="4" fillId="0" borderId="2" xfId="1" applyNumberFormat="1" applyFont="1" applyBorder="1" applyAlignment="1" applyProtection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170" fontId="4" fillId="0" borderId="0" xfId="2" applyNumberFormat="1" applyFont="1" applyBorder="1" applyAlignment="1" applyProtection="1"/>
    <xf numFmtId="164" fontId="4" fillId="0" borderId="6" xfId="0" applyNumberFormat="1" applyFont="1" applyBorder="1"/>
    <xf numFmtId="0" fontId="1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2" xfId="1" applyFont="1" applyBorder="1" applyAlignment="1" applyProtection="1"/>
    <xf numFmtId="0" fontId="3" fillId="0" borderId="2" xfId="0" applyFont="1" applyBorder="1" applyAlignment="1">
      <alignment horizontal="center"/>
    </xf>
    <xf numFmtId="164" fontId="3" fillId="0" borderId="2" xfId="1" applyFont="1" applyBorder="1" applyAlignment="1" applyProtection="1"/>
    <xf numFmtId="0" fontId="0" fillId="0" borderId="0" xfId="0" applyAlignment="1">
      <alignment horizontal="left"/>
    </xf>
    <xf numFmtId="164" fontId="0" fillId="4" borderId="7" xfId="1" applyFont="1" applyFill="1" applyBorder="1" applyAlignment="1" applyProtection="1"/>
    <xf numFmtId="164" fontId="0" fillId="4" borderId="8" xfId="1" applyFont="1" applyFill="1" applyBorder="1" applyAlignment="1" applyProtection="1"/>
    <xf numFmtId="164" fontId="3" fillId="0" borderId="9" xfId="1" applyFont="1" applyBorder="1" applyAlignment="1" applyProtection="1">
      <alignment horizontal="center"/>
    </xf>
    <xf numFmtId="164" fontId="3" fillId="0" borderId="10" xfId="1" applyFont="1" applyBorder="1" applyAlignment="1" applyProtection="1">
      <alignment horizontal="center"/>
    </xf>
    <xf numFmtId="164" fontId="0" fillId="4" borderId="11" xfId="1" applyFont="1" applyFill="1" applyBorder="1" applyAlignment="1" applyProtection="1"/>
    <xf numFmtId="164" fontId="3" fillId="0" borderId="7" xfId="1" applyFont="1" applyBorder="1" applyAlignment="1" applyProtection="1"/>
    <xf numFmtId="164" fontId="3" fillId="0" borderId="12" xfId="1" applyFont="1" applyBorder="1" applyAlignment="1" applyProtection="1"/>
    <xf numFmtId="164" fontId="3" fillId="0" borderId="13" xfId="1" applyFont="1" applyBorder="1" applyAlignment="1" applyProtection="1"/>
    <xf numFmtId="164" fontId="3" fillId="0" borderId="14" xfId="1" applyFont="1" applyBorder="1" applyAlignment="1" applyProtection="1"/>
    <xf numFmtId="164" fontId="3" fillId="0" borderId="15" xfId="1" applyFont="1" applyBorder="1" applyAlignment="1" applyProtection="1">
      <alignment horizontal="center"/>
    </xf>
    <xf numFmtId="164" fontId="3" fillId="0" borderId="16" xfId="1" applyFont="1" applyBorder="1" applyAlignment="1" applyProtection="1">
      <alignment horizontal="center"/>
    </xf>
    <xf numFmtId="164" fontId="3" fillId="0" borderId="17" xfId="1" applyFont="1" applyBorder="1" applyAlignment="1" applyProtection="1"/>
    <xf numFmtId="164" fontId="3" fillId="0" borderId="18" xfId="1" applyFont="1" applyBorder="1" applyAlignment="1" applyProtection="1"/>
    <xf numFmtId="164" fontId="3" fillId="0" borderId="19" xfId="1" applyFont="1" applyBorder="1" applyAlignment="1" applyProtection="1">
      <alignment horizontal="center"/>
    </xf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22" xfId="1" applyFont="1" applyBorder="1" applyAlignment="1" applyProtection="1">
      <alignment horizontal="center"/>
    </xf>
    <xf numFmtId="164" fontId="3" fillId="0" borderId="23" xfId="1" applyFont="1" applyBorder="1" applyAlignment="1" applyProtection="1">
      <alignment horizontal="center"/>
    </xf>
    <xf numFmtId="0" fontId="0" fillId="0" borderId="24" xfId="0" applyFont="1" applyBorder="1"/>
    <xf numFmtId="10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3" xfId="1" applyFont="1" applyBorder="1" applyAlignment="1" applyProtection="1"/>
    <xf numFmtId="164" fontId="0" fillId="0" borderId="25" xfId="1" applyFont="1" applyBorder="1" applyAlignment="1" applyProtection="1"/>
    <xf numFmtId="0" fontId="3" fillId="0" borderId="24" xfId="0" applyFont="1" applyBorder="1"/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/>
    <xf numFmtId="164" fontId="3" fillId="0" borderId="3" xfId="0" applyNumberFormat="1" applyFont="1" applyBorder="1"/>
    <xf numFmtId="0" fontId="0" fillId="0" borderId="26" xfId="0" applyFont="1" applyBorder="1" applyAlignment="1"/>
    <xf numFmtId="0" fontId="0" fillId="0" borderId="4" xfId="0" applyBorder="1" applyAlignment="1"/>
    <xf numFmtId="164" fontId="0" fillId="0" borderId="3" xfId="0" applyNumberFormat="1" applyBorder="1"/>
    <xf numFmtId="0" fontId="3" fillId="0" borderId="26" xfId="0" applyFont="1" applyBorder="1" applyAlignment="1"/>
    <xf numFmtId="0" fontId="3" fillId="0" borderId="4" xfId="0" applyFont="1" applyBorder="1" applyAlignment="1"/>
    <xf numFmtId="164" fontId="18" fillId="0" borderId="25" xfId="1" applyFont="1" applyBorder="1" applyAlignment="1" applyProtection="1"/>
    <xf numFmtId="0" fontId="0" fillId="0" borderId="2" xfId="1" applyNumberFormat="1" applyFont="1" applyBorder="1" applyAlignment="1" applyProtection="1">
      <alignment horizontal="center"/>
    </xf>
    <xf numFmtId="0" fontId="0" fillId="0" borderId="3" xfId="1" applyNumberFormat="1" applyFont="1" applyBorder="1" applyAlignment="1" applyProtection="1">
      <alignment horizontal="center"/>
    </xf>
    <xf numFmtId="0" fontId="0" fillId="0" borderId="25" xfId="1" applyNumberFormat="1" applyFont="1" applyBorder="1" applyAlignment="1" applyProtection="1">
      <alignment horizontal="center"/>
    </xf>
    <xf numFmtId="0" fontId="3" fillId="0" borderId="27" xfId="0" applyFont="1" applyBorder="1" applyAlignment="1"/>
    <xf numFmtId="0" fontId="3" fillId="0" borderId="28" xfId="0" applyFont="1" applyBorder="1" applyAlignment="1"/>
    <xf numFmtId="164" fontId="3" fillId="0" borderId="29" xfId="1" applyFont="1" applyBorder="1" applyAlignment="1" applyProtection="1"/>
    <xf numFmtId="164" fontId="3" fillId="0" borderId="30" xfId="1" applyFont="1" applyBorder="1" applyAlignment="1" applyProtection="1"/>
    <xf numFmtId="164" fontId="18" fillId="0" borderId="31" xfId="1" applyFont="1" applyBorder="1" applyAlignment="1" applyProtection="1"/>
    <xf numFmtId="164" fontId="18" fillId="0" borderId="0" xfId="1" applyFont="1" applyBorder="1" applyAlignment="1" applyProtection="1"/>
    <xf numFmtId="10" fontId="0" fillId="0" borderId="0" xfId="0" applyNumberFormat="1"/>
    <xf numFmtId="164" fontId="0" fillId="0" borderId="0" xfId="0" applyNumberFormat="1"/>
    <xf numFmtId="9" fontId="0" fillId="0" borderId="0" xfId="0" applyNumberFormat="1"/>
    <xf numFmtId="10" fontId="0" fillId="0" borderId="0" xfId="1" applyNumberFormat="1" applyFont="1" applyBorder="1" applyAlignment="1" applyProtection="1"/>
    <xf numFmtId="164" fontId="18" fillId="0" borderId="0" xfId="0" applyNumberFormat="1" applyFont="1"/>
    <xf numFmtId="0" fontId="0" fillId="0" borderId="0" xfId="0" applyAlignment="1">
      <alignment horizontal="left" wrapText="1"/>
    </xf>
    <xf numFmtId="164" fontId="0" fillId="0" borderId="0" xfId="1" applyFont="1" applyBorder="1" applyAlignment="1" applyProtection="1">
      <alignment wrapText="1"/>
    </xf>
    <xf numFmtId="0" fontId="20" fillId="0" borderId="2" xfId="0" applyFont="1" applyBorder="1" applyAlignment="1">
      <alignment horizontal="center"/>
    </xf>
    <xf numFmtId="0" fontId="20" fillId="0" borderId="2" xfId="1" applyNumberFormat="1" applyFont="1" applyBorder="1" applyAlignment="1" applyProtection="1">
      <alignment horizontal="center"/>
    </xf>
    <xf numFmtId="164" fontId="20" fillId="0" borderId="2" xfId="1" applyFont="1" applyBorder="1" applyAlignment="1" applyProtection="1">
      <alignment horizontal="center"/>
    </xf>
    <xf numFmtId="164" fontId="7" fillId="0" borderId="2" xfId="1" applyFont="1" applyFill="1" applyBorder="1" applyAlignment="1" applyProtection="1">
      <alignment horizontal="center"/>
    </xf>
    <xf numFmtId="164" fontId="7" fillId="5" borderId="2" xfId="1" applyFont="1" applyFill="1" applyBorder="1" applyAlignment="1" applyProtection="1">
      <alignment horizontal="center"/>
    </xf>
    <xf numFmtId="164" fontId="11" fillId="6" borderId="0" xfId="1" applyFont="1" applyFill="1" applyBorder="1" applyAlignment="1" applyProtection="1"/>
    <xf numFmtId="0" fontId="20" fillId="0" borderId="2" xfId="1" applyNumberFormat="1" applyFont="1" applyBorder="1" applyAlignment="1" applyProtection="1">
      <alignment horizontal="center" vertical="center" wrapText="1"/>
    </xf>
    <xf numFmtId="164" fontId="7" fillId="6" borderId="0" xfId="1" applyFont="1" applyFill="1" applyBorder="1" applyAlignment="1" applyProtection="1"/>
    <xf numFmtId="0" fontId="8" fillId="0" borderId="2" xfId="1" applyNumberFormat="1" applyFont="1" applyFill="1" applyBorder="1" applyAlignment="1" applyProtection="1">
      <alignment horizontal="center" vertical="center" wrapText="1"/>
    </xf>
    <xf numFmtId="164" fontId="8" fillId="0" borderId="2" xfId="1" applyFont="1" applyFill="1" applyBorder="1" applyAlignment="1" applyProtection="1"/>
    <xf numFmtId="164" fontId="7" fillId="0" borderId="2" xfId="1" applyFont="1" applyFill="1" applyBorder="1" applyAlignment="1" applyProtection="1"/>
    <xf numFmtId="164" fontId="8" fillId="0" borderId="2" xfId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71" fontId="8" fillId="0" borderId="0" xfId="1" applyNumberFormat="1" applyFont="1" applyBorder="1" applyAlignment="1" applyProtection="1"/>
    <xf numFmtId="0" fontId="8" fillId="0" borderId="0" xfId="1" applyNumberFormat="1" applyFont="1" applyBorder="1" applyAlignment="1" applyProtection="1">
      <alignment horizontal="center" vertical="center" wrapText="1"/>
    </xf>
    <xf numFmtId="43" fontId="8" fillId="0" borderId="2" xfId="1" applyNumberFormat="1" applyFont="1" applyBorder="1" applyAlignment="1" applyProtection="1">
      <alignment horizontal="center" vertical="center" wrapText="1"/>
    </xf>
    <xf numFmtId="43" fontId="7" fillId="0" borderId="2" xfId="1" applyNumberFormat="1" applyFont="1" applyBorder="1" applyAlignment="1" applyProtection="1">
      <alignment horizontal="center" vertical="center" wrapText="1"/>
    </xf>
    <xf numFmtId="172" fontId="0" fillId="0" borderId="0" xfId="1" applyNumberFormat="1" applyFont="1" applyBorder="1" applyAlignment="1" applyProtection="1"/>
    <xf numFmtId="172" fontId="0" fillId="2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>
      <alignment horizontal="center"/>
    </xf>
    <xf numFmtId="0" fontId="7" fillId="5" borderId="2" xfId="0" applyFont="1" applyFill="1" applyBorder="1"/>
    <xf numFmtId="164" fontId="8" fillId="5" borderId="2" xfId="1" applyFont="1" applyFill="1" applyBorder="1" applyAlignment="1" applyProtection="1"/>
    <xf numFmtId="164" fontId="7" fillId="5" borderId="2" xfId="1" applyFont="1" applyFill="1" applyBorder="1" applyAlignment="1" applyProtection="1"/>
    <xf numFmtId="10" fontId="8" fillId="5" borderId="2" xfId="0" applyNumberFormat="1" applyFont="1" applyFill="1" applyBorder="1" applyAlignment="1">
      <alignment horizontal="center"/>
    </xf>
    <xf numFmtId="164" fontId="0" fillId="0" borderId="0" xfId="1" applyFont="1" applyFill="1" applyBorder="1" applyAlignment="1" applyProtection="1"/>
    <xf numFmtId="164" fontId="6" fillId="0" borderId="0" xfId="1" applyFont="1" applyFill="1" applyBorder="1" applyAlignment="1" applyProtection="1"/>
    <xf numFmtId="0" fontId="0" fillId="0" borderId="0" xfId="0" applyFont="1" applyFill="1"/>
    <xf numFmtId="0" fontId="0" fillId="0" borderId="0" xfId="0" applyFill="1"/>
    <xf numFmtId="164" fontId="7" fillId="0" borderId="2" xfId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164" fontId="6" fillId="0" borderId="0" xfId="1" applyFont="1" applyFill="1" applyBorder="1" applyAlignment="1" applyProtection="1">
      <alignment horizontal="center" vertical="center"/>
    </xf>
    <xf numFmtId="164" fontId="0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2" xfId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43" fontId="7" fillId="0" borderId="2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0" fontId="8" fillId="0" borderId="2" xfId="1" applyNumberFormat="1" applyFont="1" applyFill="1" applyBorder="1" applyAlignment="1" applyProtection="1"/>
    <xf numFmtId="0" fontId="7" fillId="0" borderId="4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1" applyNumberFormat="1" applyFont="1" applyFill="1" applyBorder="1" applyAlignment="1" applyProtection="1"/>
    <xf numFmtId="164" fontId="8" fillId="0" borderId="0" xfId="1" applyFont="1" applyFill="1" applyBorder="1" applyAlignment="1" applyProtection="1"/>
    <xf numFmtId="0" fontId="8" fillId="0" borderId="2" xfId="0" applyFont="1" applyFill="1" applyBorder="1"/>
    <xf numFmtId="0" fontId="20" fillId="0" borderId="2" xfId="0" applyFont="1" applyFill="1" applyBorder="1" applyAlignment="1">
      <alignment horizontal="center"/>
    </xf>
    <xf numFmtId="0" fontId="20" fillId="0" borderId="2" xfId="1" applyNumberFormat="1" applyFont="1" applyFill="1" applyBorder="1" applyAlignment="1" applyProtection="1">
      <alignment horizontal="center"/>
    </xf>
    <xf numFmtId="164" fontId="20" fillId="0" borderId="2" xfId="1" applyFont="1" applyFill="1" applyBorder="1" applyAlignment="1" applyProtection="1">
      <alignment horizontal="center"/>
    </xf>
    <xf numFmtId="0" fontId="7" fillId="0" borderId="2" xfId="0" applyFont="1" applyFill="1" applyBorder="1"/>
    <xf numFmtId="0" fontId="8" fillId="0" borderId="2" xfId="1" applyNumberFormat="1" applyFont="1" applyFill="1" applyBorder="1" applyAlignment="1" applyProtection="1">
      <alignment horizontal="center"/>
    </xf>
    <xf numFmtId="172" fontId="0" fillId="0" borderId="0" xfId="1" applyNumberFormat="1" applyFont="1" applyFill="1" applyBorder="1" applyAlignment="1" applyProtection="1"/>
    <xf numFmtId="166" fontId="8" fillId="0" borderId="2" xfId="0" applyNumberFormat="1" applyFont="1" applyFill="1" applyBorder="1" applyAlignment="1">
      <alignment horizontal="center"/>
    </xf>
    <xf numFmtId="164" fontId="5" fillId="0" borderId="0" xfId="1" applyFont="1" applyFill="1" applyBorder="1" applyAlignment="1" applyProtection="1"/>
    <xf numFmtId="167" fontId="8" fillId="0" borderId="0" xfId="1" applyNumberFormat="1" applyFont="1" applyFill="1" applyBorder="1" applyAlignment="1" applyProtection="1"/>
    <xf numFmtId="171" fontId="8" fillId="0" borderId="0" xfId="1" applyNumberFormat="1" applyFont="1" applyFill="1" applyBorder="1" applyAlignment="1" applyProtection="1"/>
    <xf numFmtId="10" fontId="8" fillId="0" borderId="2" xfId="0" applyNumberFormat="1" applyFont="1" applyFill="1" applyBorder="1" applyAlignment="1">
      <alignment horizontal="center"/>
    </xf>
    <xf numFmtId="168" fontId="8" fillId="0" borderId="0" xfId="1" applyNumberFormat="1" applyFont="1" applyFill="1" applyBorder="1" applyAlignment="1" applyProtection="1"/>
    <xf numFmtId="9" fontId="8" fillId="0" borderId="2" xfId="0" applyNumberFormat="1" applyFont="1" applyFill="1" applyBorder="1" applyAlignment="1">
      <alignment horizontal="center"/>
    </xf>
    <xf numFmtId="169" fontId="6" fillId="0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/>
    <xf numFmtId="164" fontId="6" fillId="0" borderId="0" xfId="1" applyFont="1" applyFill="1" applyBorder="1" applyAlignment="1" applyProtection="1">
      <alignment horizontal="center"/>
    </xf>
    <xf numFmtId="164" fontId="0" fillId="0" borderId="0" xfId="1" applyFont="1" applyFill="1" applyBorder="1" applyAlignment="1" applyProtection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5" fillId="0" borderId="0" xfId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1" fillId="0" borderId="1" xfId="0" applyFont="1" applyFill="1" applyBorder="1" applyAlignment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11" fillId="0" borderId="0" xfId="1" applyFont="1" applyFill="1" applyBorder="1" applyAlignment="1" applyProtection="1"/>
    <xf numFmtId="164" fontId="11" fillId="0" borderId="0" xfId="1" applyFont="1" applyBorder="1" applyProtection="1"/>
    <xf numFmtId="164" fontId="24" fillId="0" borderId="0" xfId="1" applyFont="1" applyFill="1"/>
    <xf numFmtId="164" fontId="0" fillId="0" borderId="0" xfId="1" applyFont="1" applyFill="1"/>
    <xf numFmtId="164" fontId="25" fillId="0" borderId="2" xfId="1" applyFont="1" applyFill="1" applyBorder="1" applyAlignment="1">
      <alignment horizontal="center" vertical="center" wrapText="1"/>
    </xf>
    <xf numFmtId="164" fontId="25" fillId="0" borderId="0" xfId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65" fontId="24" fillId="0" borderId="2" xfId="1" applyNumberFormat="1" applyFont="1" applyFill="1" applyBorder="1" applyAlignment="1">
      <alignment horizontal="center"/>
    </xf>
    <xf numFmtId="164" fontId="24" fillId="0" borderId="2" xfId="1" applyFont="1" applyFill="1" applyBorder="1" applyAlignment="1">
      <alignment horizontal="center"/>
    </xf>
    <xf numFmtId="164" fontId="24" fillId="0" borderId="2" xfId="1" applyFont="1" applyFill="1" applyBorder="1" applyAlignment="1">
      <alignment horizontal="right"/>
    </xf>
    <xf numFmtId="165" fontId="25" fillId="0" borderId="2" xfId="1" applyNumberFormat="1" applyFont="1" applyFill="1" applyBorder="1" applyAlignment="1">
      <alignment horizontal="center"/>
    </xf>
    <xf numFmtId="164" fontId="25" fillId="0" borderId="0" xfId="1" applyFont="1" applyFill="1"/>
    <xf numFmtId="0" fontId="25" fillId="0" borderId="0" xfId="0" applyFont="1" applyFill="1"/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64" fontId="24" fillId="0" borderId="2" xfId="1" applyFont="1" applyFill="1" applyBorder="1"/>
    <xf numFmtId="0" fontId="24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/>
    </xf>
    <xf numFmtId="164" fontId="24" fillId="0" borderId="0" xfId="1" applyFont="1" applyFill="1" applyAlignment="1">
      <alignment horizontal="center"/>
    </xf>
    <xf numFmtId="16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4" fillId="0" borderId="2" xfId="0" applyFont="1" applyFill="1" applyBorder="1"/>
    <xf numFmtId="0" fontId="27" fillId="0" borderId="2" xfId="0" applyFont="1" applyFill="1" applyBorder="1" applyAlignment="1">
      <alignment horizontal="center"/>
    </xf>
    <xf numFmtId="164" fontId="24" fillId="5" borderId="0" xfId="1" applyFont="1" applyFill="1"/>
    <xf numFmtId="10" fontId="24" fillId="0" borderId="2" xfId="0" applyNumberFormat="1" applyFont="1" applyFill="1" applyBorder="1" applyAlignment="1">
      <alignment horizontal="center"/>
    </xf>
    <xf numFmtId="170" fontId="24" fillId="0" borderId="0" xfId="2" applyNumberFormat="1" applyFont="1" applyFill="1"/>
    <xf numFmtId="9" fontId="24" fillId="5" borderId="0" xfId="1" applyNumberFormat="1" applyFont="1" applyFill="1"/>
    <xf numFmtId="164" fontId="26" fillId="0" borderId="2" xfId="1" applyFont="1" applyFill="1" applyBorder="1"/>
    <xf numFmtId="9" fontId="24" fillId="0" borderId="2" xfId="0" applyNumberFormat="1" applyFont="1" applyFill="1" applyBorder="1" applyAlignment="1">
      <alignment horizontal="center"/>
    </xf>
    <xf numFmtId="164" fontId="24" fillId="5" borderId="6" xfId="1" applyFont="1" applyFill="1" applyBorder="1"/>
    <xf numFmtId="164" fontId="24" fillId="5" borderId="0" xfId="1" applyFont="1" applyFill="1" applyBorder="1"/>
    <xf numFmtId="0" fontId="24" fillId="7" borderId="5" xfId="0" applyFont="1" applyFill="1" applyBorder="1"/>
    <xf numFmtId="10" fontId="24" fillId="7" borderId="5" xfId="0" applyNumberFormat="1" applyFont="1" applyFill="1" applyBorder="1" applyAlignment="1">
      <alignment horizontal="center"/>
    </xf>
    <xf numFmtId="164" fontId="26" fillId="7" borderId="6" xfId="1" applyFont="1" applyFill="1" applyBorder="1"/>
    <xf numFmtId="164" fontId="26" fillId="0" borderId="0" xfId="1" applyFont="1" applyFill="1" applyBorder="1"/>
    <xf numFmtId="164" fontId="24" fillId="6" borderId="6" xfId="1" applyFont="1" applyFill="1" applyBorder="1"/>
    <xf numFmtId="164" fontId="24" fillId="0" borderId="0" xfId="1" applyFont="1" applyFill="1" applyBorder="1"/>
    <xf numFmtId="43" fontId="24" fillId="6" borderId="6" xfId="0" applyNumberFormat="1" applyFont="1" applyFill="1" applyBorder="1"/>
    <xf numFmtId="164" fontId="24" fillId="6" borderId="2" xfId="1" applyFont="1" applyFill="1" applyBorder="1"/>
    <xf numFmtId="164" fontId="29" fillId="0" borderId="2" xfId="1" applyFont="1" applyFill="1" applyBorder="1" applyAlignment="1">
      <alignment horizontal="center"/>
    </xf>
    <xf numFmtId="164" fontId="26" fillId="0" borderId="0" xfId="1" applyFont="1" applyFill="1" applyBorder="1" applyAlignment="1">
      <alignment horizontal="center"/>
    </xf>
    <xf numFmtId="164" fontId="26" fillId="0" borderId="0" xfId="1" applyFont="1" applyFill="1" applyAlignment="1">
      <alignment horizontal="center"/>
    </xf>
    <xf numFmtId="164" fontId="22" fillId="0" borderId="0" xfId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4" fontId="26" fillId="7" borderId="2" xfId="1" applyFont="1" applyFill="1" applyBorder="1"/>
    <xf numFmtId="164" fontId="30" fillId="0" borderId="0" xfId="1" applyFont="1" applyFill="1"/>
    <xf numFmtId="164" fontId="31" fillId="0" borderId="2" xfId="1" applyFont="1" applyFill="1" applyBorder="1" applyAlignment="1">
      <alignment horizontal="center" vertical="center" wrapText="1"/>
    </xf>
    <xf numFmtId="164" fontId="11" fillId="0" borderId="0" xfId="1" applyFont="1" applyFill="1"/>
    <xf numFmtId="164" fontId="24" fillId="6" borderId="0" xfId="1" applyFont="1" applyFill="1"/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8" borderId="0" xfId="1" applyFont="1" applyFill="1"/>
    <xf numFmtId="164" fontId="32" fillId="0" borderId="0" xfId="1" applyFont="1" applyFill="1"/>
    <xf numFmtId="164" fontId="33" fillId="0" borderId="2" xfId="1" applyFont="1" applyFill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left" vertical="center"/>
    </xf>
    <xf numFmtId="43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66" fontId="8" fillId="0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3" xfId="1" applyFont="1" applyFill="1" applyBorder="1" applyAlignment="1" applyProtection="1">
      <alignment horizontal="center" vertical="center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164" fontId="8" fillId="0" borderId="25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164" fontId="36" fillId="0" borderId="2" xfId="1" applyFont="1" applyFill="1" applyBorder="1" applyAlignment="1" applyProtection="1">
      <alignment horizontal="center" vertical="center"/>
    </xf>
    <xf numFmtId="164" fontId="3" fillId="0" borderId="0" xfId="1" applyFont="1" applyFill="1" applyBorder="1" applyAlignment="1" applyProtection="1">
      <alignment horizontal="center" vertical="center"/>
    </xf>
    <xf numFmtId="164" fontId="2" fillId="0" borderId="0" xfId="1" applyFont="1"/>
    <xf numFmtId="0" fontId="3" fillId="0" borderId="0" xfId="0" applyFont="1" applyFill="1" applyAlignment="1">
      <alignment horizontal="center" vertical="center"/>
    </xf>
    <xf numFmtId="164" fontId="3" fillId="0" borderId="0" xfId="1" applyFont="1" applyFill="1" applyBorder="1" applyAlignment="1" applyProtection="1"/>
    <xf numFmtId="0" fontId="3" fillId="0" borderId="0" xfId="0" applyFont="1" applyFill="1"/>
    <xf numFmtId="0" fontId="2" fillId="0" borderId="0" xfId="0" applyFont="1" applyFill="1"/>
    <xf numFmtId="164" fontId="37" fillId="0" borderId="0" xfId="1" applyFont="1" applyBorder="1" applyProtection="1"/>
    <xf numFmtId="0" fontId="3" fillId="0" borderId="0" xfId="0" applyFont="1" applyFill="1" applyAlignment="1">
      <alignment horizontal="center"/>
    </xf>
    <xf numFmtId="164" fontId="3" fillId="0" borderId="0" xfId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2" fillId="0" borderId="0" xfId="1" applyFont="1" applyFill="1" applyBorder="1" applyAlignment="1" applyProtection="1"/>
    <xf numFmtId="164" fontId="2" fillId="0" borderId="0" xfId="1" applyFont="1" applyBorder="1" applyProtection="1"/>
    <xf numFmtId="164" fontId="36" fillId="0" borderId="3" xfId="1" applyFont="1" applyFill="1" applyBorder="1" applyAlignment="1" applyProtection="1">
      <alignment horizontal="center" vertical="center"/>
    </xf>
    <xf numFmtId="164" fontId="36" fillId="0" borderId="31" xfId="1" applyFont="1" applyFill="1" applyBorder="1" applyAlignment="1" applyProtection="1">
      <alignment horizontal="center" vertical="center"/>
    </xf>
    <xf numFmtId="164" fontId="36" fillId="0" borderId="38" xfId="1" applyFont="1" applyFill="1" applyBorder="1" applyAlignment="1" applyProtection="1">
      <alignment horizontal="center" vertical="center"/>
    </xf>
    <xf numFmtId="164" fontId="2" fillId="6" borderId="2" xfId="1" applyFont="1" applyFill="1" applyBorder="1" applyProtection="1"/>
    <xf numFmtId="164" fontId="36" fillId="0" borderId="0" xfId="1" applyFont="1" applyFill="1" applyBorder="1" applyAlignment="1" applyProtection="1"/>
    <xf numFmtId="169" fontId="36" fillId="0" borderId="0" xfId="1" applyNumberFormat="1" applyFont="1" applyFill="1" applyBorder="1" applyAlignment="1" applyProtection="1"/>
    <xf numFmtId="164" fontId="38" fillId="0" borderId="0" xfId="1" applyFont="1" applyFill="1" applyBorder="1" applyAlignment="1" applyProtection="1"/>
    <xf numFmtId="0" fontId="21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174" fontId="39" fillId="0" borderId="2" xfId="0" applyNumberFormat="1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164" fontId="39" fillId="0" borderId="2" xfId="1" applyFont="1" applyFill="1" applyBorder="1" applyAlignment="1" applyProtection="1">
      <alignment horizontal="center"/>
    </xf>
    <xf numFmtId="164" fontId="15" fillId="0" borderId="23" xfId="1" applyFont="1" applyFill="1" applyBorder="1" applyAlignment="1" applyProtection="1">
      <alignment horizontal="center" vertical="center" wrapText="1"/>
    </xf>
    <xf numFmtId="164" fontId="15" fillId="0" borderId="36" xfId="1" applyFont="1" applyFill="1" applyBorder="1" applyAlignment="1" applyProtection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quotePrefix="1" applyFont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center" vertical="center"/>
    </xf>
    <xf numFmtId="164" fontId="8" fillId="0" borderId="6" xfId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164" fontId="4" fillId="0" borderId="2" xfId="1" applyFont="1" applyFill="1" applyBorder="1" applyAlignment="1" applyProtection="1"/>
    <xf numFmtId="0" fontId="39" fillId="0" borderId="2" xfId="1" applyNumberFormat="1" applyFont="1" applyFill="1" applyBorder="1" applyAlignment="1" applyProtection="1">
      <alignment horizontal="center"/>
    </xf>
    <xf numFmtId="164" fontId="4" fillId="0" borderId="0" xfId="1" applyFont="1" applyBorder="1" applyProtection="1"/>
    <xf numFmtId="164" fontId="8" fillId="0" borderId="3" xfId="1" applyFont="1" applyFill="1" applyBorder="1" applyAlignment="1" applyProtection="1"/>
    <xf numFmtId="164" fontId="8" fillId="0" borderId="0" xfId="1" applyFont="1" applyFill="1" applyBorder="1" applyAlignment="1" applyProtection="1">
      <alignment horizontal="center"/>
    </xf>
    <xf numFmtId="0" fontId="42" fillId="0" borderId="0" xfId="0" applyFont="1" applyFill="1" applyAlignment="1">
      <alignment horizontal="center" vertical="center"/>
    </xf>
    <xf numFmtId="164" fontId="39" fillId="0" borderId="0" xfId="1" applyFont="1" applyFill="1" applyBorder="1" applyAlignment="1" applyProtection="1">
      <alignment horizontal="center"/>
    </xf>
    <xf numFmtId="164" fontId="4" fillId="0" borderId="39" xfId="1" applyFont="1" applyFill="1" applyBorder="1" applyAlignment="1" applyProtection="1"/>
    <xf numFmtId="0" fontId="12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164" fontId="3" fillId="0" borderId="25" xfId="1" applyFont="1" applyFill="1" applyBorder="1" applyAlignment="1" applyProtection="1">
      <alignment horizontal="center" vertical="center"/>
    </xf>
    <xf numFmtId="164" fontId="3" fillId="0" borderId="37" xfId="1" applyFont="1" applyFill="1" applyBorder="1" applyAlignment="1" applyProtection="1">
      <alignment horizontal="center" vertical="center"/>
    </xf>
    <xf numFmtId="164" fontId="16" fillId="0" borderId="0" xfId="1" applyFont="1" applyFill="1" applyBorder="1" applyAlignment="1" applyProtection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6" fillId="0" borderId="0" xfId="1" applyFont="1" applyFill="1" applyBorder="1" applyAlignment="1" applyProtection="1">
      <alignment horizontal="center"/>
    </xf>
    <xf numFmtId="0" fontId="16" fillId="0" borderId="0" xfId="1" applyNumberFormat="1" applyFont="1" applyFill="1" applyBorder="1" applyAlignment="1" applyProtection="1"/>
    <xf numFmtId="164" fontId="43" fillId="0" borderId="2" xfId="1" applyFont="1" applyFill="1" applyBorder="1" applyAlignment="1" applyProtection="1">
      <alignment horizontal="center" vertical="center" wrapText="1"/>
    </xf>
    <xf numFmtId="0" fontId="43" fillId="0" borderId="2" xfId="1" applyNumberFormat="1" applyFont="1" applyFill="1" applyBorder="1" applyAlignment="1" applyProtection="1">
      <alignment horizontal="center" vertical="center" wrapText="1"/>
    </xf>
    <xf numFmtId="164" fontId="44" fillId="0" borderId="2" xfId="1" applyFont="1" applyFill="1" applyBorder="1" applyAlignment="1" applyProtection="1"/>
    <xf numFmtId="43" fontId="39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164" fontId="39" fillId="6" borderId="4" xfId="1" applyFont="1" applyFill="1" applyBorder="1" applyAlignment="1" applyProtection="1"/>
    <xf numFmtId="164" fontId="8" fillId="0" borderId="4" xfId="1" applyFont="1" applyFill="1" applyBorder="1" applyAlignment="1" applyProtection="1"/>
    <xf numFmtId="164" fontId="8" fillId="6" borderId="4" xfId="1" applyFont="1" applyFill="1" applyBorder="1" applyAlignment="1" applyProtection="1"/>
    <xf numFmtId="0" fontId="45" fillId="0" borderId="0" xfId="0" applyFont="1" applyFill="1" applyBorder="1" applyAlignment="1"/>
    <xf numFmtId="164" fontId="19" fillId="0" borderId="0" xfId="1" applyFont="1" applyFill="1" applyBorder="1" applyAlignment="1" applyProtection="1"/>
    <xf numFmtId="164" fontId="8" fillId="0" borderId="23" xfId="1" applyFont="1" applyFill="1" applyBorder="1" applyAlignment="1" applyProtection="1">
      <alignment horizontal="center" vertical="center" wrapText="1"/>
    </xf>
    <xf numFmtId="164" fontId="8" fillId="0" borderId="36" xfId="1" applyFont="1" applyFill="1" applyBorder="1" applyAlignment="1" applyProtection="1">
      <alignment horizontal="center" vertical="center" wrapText="1"/>
    </xf>
    <xf numFmtId="164" fontId="19" fillId="0" borderId="25" xfId="1" applyFont="1" applyFill="1" applyBorder="1" applyAlignment="1" applyProtection="1">
      <alignment horizontal="center" vertical="center"/>
    </xf>
    <xf numFmtId="164" fontId="19" fillId="0" borderId="37" xfId="1" applyFont="1" applyFill="1" applyBorder="1" applyAlignment="1" applyProtection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164" fontId="6" fillId="0" borderId="31" xfId="1" applyFont="1" applyFill="1" applyBorder="1" applyAlignment="1" applyProtection="1">
      <alignment horizontal="center" vertical="center"/>
    </xf>
    <xf numFmtId="164" fontId="6" fillId="0" borderId="38" xfId="1" applyFont="1" applyFill="1" applyBorder="1" applyAlignment="1" applyProtection="1">
      <alignment horizontal="center" vertical="center"/>
    </xf>
    <xf numFmtId="164" fontId="4" fillId="6" borderId="2" xfId="1" applyFont="1" applyFill="1" applyBorder="1" applyProtection="1"/>
    <xf numFmtId="164" fontId="19" fillId="0" borderId="0" xfId="1" applyFont="1" applyFill="1" applyBorder="1" applyAlignment="1" applyProtection="1">
      <alignment horizontal="center" vertical="center"/>
    </xf>
    <xf numFmtId="170" fontId="8" fillId="0" borderId="2" xfId="0" applyNumberFormat="1" applyFont="1" applyFill="1" applyBorder="1" applyAlignment="1">
      <alignment horizontal="center"/>
    </xf>
    <xf numFmtId="164" fontId="39" fillId="0" borderId="0" xfId="1" applyFont="1" applyFill="1" applyBorder="1" applyAlignment="1" applyProtection="1"/>
    <xf numFmtId="164" fontId="39" fillId="0" borderId="2" xfId="1" applyFont="1" applyFill="1" applyBorder="1" applyAlignment="1" applyProtection="1"/>
    <xf numFmtId="0" fontId="4" fillId="6" borderId="2" xfId="0" applyFont="1" applyFill="1" applyBorder="1" applyAlignment="1">
      <alignment horizontal="center"/>
    </xf>
    <xf numFmtId="164" fontId="19" fillId="0" borderId="0" xfId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164" fontId="8" fillId="6" borderId="2" xfId="1" applyFont="1" applyFill="1" applyBorder="1" applyAlignment="1" applyProtection="1"/>
    <xf numFmtId="0" fontId="8" fillId="0" borderId="0" xfId="0" applyFont="1" applyFill="1" applyBorder="1" applyAlignment="1">
      <alignment horizontal="left"/>
    </xf>
    <xf numFmtId="173" fontId="8" fillId="0" borderId="2" xfId="0" applyNumberFormat="1" applyFont="1" applyFill="1" applyBorder="1" applyAlignment="1">
      <alignment horizontal="center"/>
    </xf>
    <xf numFmtId="0" fontId="40" fillId="0" borderId="0" xfId="0" applyFont="1" applyFill="1" applyBorder="1" applyAlignment="1"/>
    <xf numFmtId="0" fontId="6" fillId="0" borderId="0" xfId="0" applyFont="1" applyFill="1"/>
    <xf numFmtId="164" fontId="40" fillId="0" borderId="23" xfId="1" applyFont="1" applyFill="1" applyBorder="1" applyAlignment="1" applyProtection="1">
      <alignment horizontal="center" vertical="center" wrapText="1"/>
    </xf>
    <xf numFmtId="164" fontId="40" fillId="0" borderId="36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0" fillId="0" borderId="2" xfId="1" applyNumberFormat="1" applyFont="1" applyFill="1" applyBorder="1" applyAlignment="1" applyProtection="1">
      <alignment horizontal="center" vertical="center" wrapText="1"/>
    </xf>
    <xf numFmtId="0" fontId="40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Font="1" applyFill="1" applyBorder="1" applyAlignment="1" applyProtection="1">
      <alignment horizontal="center" vertical="center"/>
    </xf>
    <xf numFmtId="164" fontId="6" fillId="0" borderId="37" xfId="1" applyFont="1" applyFill="1" applyBorder="1" applyAlignment="1" applyProtection="1">
      <alignment horizontal="center" vertical="center"/>
    </xf>
    <xf numFmtId="164" fontId="40" fillId="0" borderId="2" xfId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/>
    </xf>
    <xf numFmtId="164" fontId="6" fillId="6" borderId="2" xfId="1" applyFont="1" applyFill="1" applyBorder="1" applyProtection="1"/>
    <xf numFmtId="0" fontId="40" fillId="0" borderId="34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center" vertical="center"/>
    </xf>
    <xf numFmtId="164" fontId="40" fillId="0" borderId="6" xfId="1" applyFont="1" applyFill="1" applyBorder="1" applyAlignment="1" applyProtection="1">
      <alignment horizontal="center" vertical="center" wrapText="1"/>
    </xf>
    <xf numFmtId="0" fontId="40" fillId="0" borderId="6" xfId="1" applyNumberFormat="1" applyFont="1" applyFill="1" applyBorder="1" applyAlignment="1" applyProtection="1">
      <alignment horizontal="center" vertical="center" wrapText="1"/>
    </xf>
    <xf numFmtId="0" fontId="40" fillId="0" borderId="0" xfId="1" applyNumberFormat="1" applyFont="1" applyFill="1" applyBorder="1" applyAlignment="1" applyProtection="1">
      <alignment horizontal="center" vertical="center" wrapText="1"/>
    </xf>
    <xf numFmtId="0" fontId="40" fillId="0" borderId="3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/>
    <xf numFmtId="164" fontId="40" fillId="0" borderId="2" xfId="1" applyFont="1" applyFill="1" applyBorder="1" applyAlignment="1" applyProtection="1"/>
    <xf numFmtId="164" fontId="6" fillId="0" borderId="2" xfId="1" applyFont="1" applyFill="1" applyBorder="1" applyAlignment="1" applyProtection="1"/>
    <xf numFmtId="0" fontId="40" fillId="0" borderId="0" xfId="0" applyFont="1" applyFill="1" applyBorder="1"/>
    <xf numFmtId="0" fontId="40" fillId="0" borderId="0" xfId="0" applyFont="1" applyFill="1" applyBorder="1" applyAlignment="1">
      <alignment horizontal="center"/>
    </xf>
    <xf numFmtId="0" fontId="40" fillId="0" borderId="0" xfId="1" applyNumberFormat="1" applyFont="1" applyFill="1" applyBorder="1" applyAlignment="1" applyProtection="1"/>
    <xf numFmtId="164" fontId="40" fillId="0" borderId="0" xfId="1" applyFont="1" applyFill="1" applyBorder="1" applyAlignment="1" applyProtection="1"/>
    <xf numFmtId="0" fontId="40" fillId="0" borderId="2" xfId="0" applyFont="1" applyFill="1" applyBorder="1"/>
    <xf numFmtId="0" fontId="46" fillId="0" borderId="2" xfId="0" applyFont="1" applyFill="1" applyBorder="1" applyAlignment="1">
      <alignment horizontal="center"/>
    </xf>
    <xf numFmtId="0" fontId="46" fillId="0" borderId="2" xfId="1" applyNumberFormat="1" applyFont="1" applyFill="1" applyBorder="1" applyAlignment="1" applyProtection="1">
      <alignment horizontal="center"/>
    </xf>
    <xf numFmtId="164" fontId="46" fillId="0" borderId="2" xfId="1" applyFont="1" applyFill="1" applyBorder="1" applyAlignment="1" applyProtection="1">
      <alignment horizontal="center"/>
    </xf>
    <xf numFmtId="0" fontId="40" fillId="0" borderId="2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>
      <alignment horizontal="center"/>
    </xf>
    <xf numFmtId="164" fontId="40" fillId="0" borderId="2" xfId="1" applyFont="1" applyFill="1" applyBorder="1" applyAlignment="1" applyProtection="1">
      <alignment horizontal="center"/>
    </xf>
    <xf numFmtId="10" fontId="40" fillId="0" borderId="2" xfId="0" applyNumberFormat="1" applyFont="1" applyFill="1" applyBorder="1" applyAlignment="1">
      <alignment horizontal="center"/>
    </xf>
    <xf numFmtId="166" fontId="40" fillId="0" borderId="2" xfId="0" applyNumberFormat="1" applyFont="1" applyFill="1" applyBorder="1" applyAlignment="1">
      <alignment horizontal="center"/>
    </xf>
    <xf numFmtId="167" fontId="40" fillId="0" borderId="0" xfId="1" applyNumberFormat="1" applyFont="1" applyFill="1" applyBorder="1" applyAlignment="1" applyProtection="1"/>
    <xf numFmtId="164" fontId="6" fillId="0" borderId="0" xfId="1" applyFont="1" applyBorder="1" applyProtection="1"/>
    <xf numFmtId="175" fontId="40" fillId="0" borderId="2" xfId="0" applyNumberFormat="1" applyFont="1" applyFill="1" applyBorder="1" applyAlignment="1">
      <alignment horizontal="center"/>
    </xf>
    <xf numFmtId="171" fontId="40" fillId="0" borderId="0" xfId="1" applyNumberFormat="1" applyFont="1" applyFill="1" applyBorder="1" applyAlignment="1" applyProtection="1"/>
    <xf numFmtId="164" fontId="40" fillId="0" borderId="0" xfId="1" applyNumberFormat="1" applyFont="1" applyFill="1" applyBorder="1" applyAlignment="1" applyProtection="1"/>
    <xf numFmtId="164" fontId="47" fillId="0" borderId="0" xfId="1" applyFont="1" applyFill="1" applyBorder="1" applyAlignment="1" applyProtection="1"/>
    <xf numFmtId="168" fontId="40" fillId="0" borderId="0" xfId="1" applyNumberFormat="1" applyFont="1" applyFill="1" applyBorder="1" applyAlignment="1" applyProtection="1"/>
    <xf numFmtId="9" fontId="40" fillId="0" borderId="2" xfId="0" applyNumberFormat="1" applyFont="1" applyFill="1" applyBorder="1" applyAlignment="1">
      <alignment horizontal="center"/>
    </xf>
    <xf numFmtId="164" fontId="46" fillId="0" borderId="0" xfId="1" applyFont="1" applyFill="1" applyBorder="1" applyAlignment="1" applyProtection="1"/>
    <xf numFmtId="164" fontId="46" fillId="0" borderId="2" xfId="1" applyFont="1" applyFill="1" applyBorder="1" applyAlignment="1" applyProtection="1"/>
    <xf numFmtId="0" fontId="40" fillId="0" borderId="2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164" fontId="40" fillId="0" borderId="0" xfId="1" applyFont="1" applyFill="1" applyBorder="1" applyAlignment="1" applyProtection="1">
      <alignment horizontal="center"/>
    </xf>
    <xf numFmtId="0" fontId="6" fillId="6" borderId="2" xfId="0" applyFont="1" applyFill="1" applyBorder="1" applyAlignment="1">
      <alignment horizontal="center"/>
    </xf>
    <xf numFmtId="164" fontId="40" fillId="6" borderId="2" xfId="1" applyFont="1" applyFill="1" applyBorder="1" applyAlignment="1" applyProtection="1"/>
    <xf numFmtId="0" fontId="40" fillId="0" borderId="0" xfId="0" applyFont="1" applyFill="1" applyBorder="1" applyAlignment="1">
      <alignment horizontal="left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43" fontId="40" fillId="0" borderId="2" xfId="1" applyNumberFormat="1" applyFont="1" applyFill="1" applyBorder="1" applyAlignment="1" applyProtection="1">
      <alignment horizontal="center" vertical="center" wrapText="1"/>
    </xf>
    <xf numFmtId="164" fontId="6" fillId="0" borderId="2" xfId="1" applyNumberFormat="1" applyFont="1" applyFill="1" applyBorder="1" applyAlignment="1" applyProtection="1">
      <alignment horizontal="center" vertical="center"/>
    </xf>
    <xf numFmtId="164" fontId="46" fillId="0" borderId="2" xfId="1" applyFont="1" applyBorder="1" applyAlignment="1" applyProtection="1">
      <alignment vertical="center"/>
    </xf>
    <xf numFmtId="43" fontId="46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/>
    <xf numFmtId="164" fontId="39" fillId="0" borderId="2" xfId="1" applyFont="1" applyBorder="1" applyAlignment="1" applyProtection="1">
      <alignment vertical="center"/>
    </xf>
    <xf numFmtId="173" fontId="40" fillId="0" borderId="2" xfId="0" applyNumberFormat="1" applyFont="1" applyFill="1" applyBorder="1" applyAlignment="1">
      <alignment horizontal="center"/>
    </xf>
    <xf numFmtId="0" fontId="40" fillId="0" borderId="2" xfId="0" applyFont="1" applyFill="1" applyBorder="1" applyAlignment="1"/>
    <xf numFmtId="0" fontId="6" fillId="0" borderId="2" xfId="0" applyFont="1" applyFill="1" applyBorder="1"/>
    <xf numFmtId="167" fontId="40" fillId="0" borderId="2" xfId="1" applyNumberFormat="1" applyFont="1" applyFill="1" applyBorder="1" applyAlignment="1" applyProtection="1"/>
    <xf numFmtId="164" fontId="6" fillId="0" borderId="2" xfId="1" applyFont="1" applyBorder="1" applyProtection="1"/>
    <xf numFmtId="171" fontId="40" fillId="0" borderId="2" xfId="1" applyNumberFormat="1" applyFont="1" applyFill="1" applyBorder="1" applyAlignment="1" applyProtection="1"/>
    <xf numFmtId="164" fontId="6" fillId="0" borderId="2" xfId="1" applyFont="1" applyBorder="1"/>
    <xf numFmtId="164" fontId="47" fillId="0" borderId="2" xfId="1" applyFont="1" applyFill="1" applyBorder="1" applyAlignment="1" applyProtection="1"/>
    <xf numFmtId="168" fontId="40" fillId="0" borderId="2" xfId="1" applyNumberFormat="1" applyFont="1" applyFill="1" applyBorder="1" applyAlignment="1" applyProtection="1"/>
    <xf numFmtId="169" fontId="6" fillId="0" borderId="2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/>
    </xf>
    <xf numFmtId="164" fontId="40" fillId="6" borderId="2" xfId="1" applyFont="1" applyFill="1" applyBorder="1" applyAlignment="1" applyProtection="1">
      <alignment horizontal="center" vertical="center" wrapText="1"/>
    </xf>
    <xf numFmtId="0" fontId="6" fillId="6" borderId="2" xfId="0" applyFont="1" applyFill="1" applyBorder="1"/>
    <xf numFmtId="0" fontId="40" fillId="6" borderId="2" xfId="0" applyFont="1" applyFill="1" applyBorder="1" applyAlignment="1">
      <alignment vertical="center"/>
    </xf>
    <xf numFmtId="0" fontId="30" fillId="6" borderId="2" xfId="0" applyFont="1" applyFill="1" applyBorder="1" applyAlignment="1">
      <alignment horizontal="center" vertical="center"/>
    </xf>
    <xf numFmtId="164" fontId="48" fillId="0" borderId="2" xfId="1" applyFont="1" applyFill="1" applyBorder="1" applyAlignment="1" applyProtection="1"/>
    <xf numFmtId="43" fontId="40" fillId="6" borderId="2" xfId="1" applyNumberFormat="1" applyFont="1" applyFill="1" applyBorder="1" applyAlignment="1" applyProtection="1">
      <alignment horizontal="center" vertical="center" wrapText="1"/>
    </xf>
    <xf numFmtId="164" fontId="6" fillId="6" borderId="2" xfId="1" applyNumberFormat="1" applyFont="1" applyFill="1" applyBorder="1" applyAlignment="1" applyProtection="1">
      <alignment horizontal="center" vertical="center"/>
    </xf>
    <xf numFmtId="43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164" fontId="18" fillId="0" borderId="0" xfId="1" applyFont="1" applyFill="1" applyBorder="1" applyAlignment="1" applyProtection="1"/>
    <xf numFmtId="0" fontId="51" fillId="0" borderId="0" xfId="0" applyFont="1" applyFill="1"/>
    <xf numFmtId="0" fontId="18" fillId="0" borderId="0" xfId="0" applyFont="1" applyFill="1"/>
    <xf numFmtId="164" fontId="51" fillId="0" borderId="0" xfId="1" applyFont="1" applyBorder="1" applyProtection="1"/>
    <xf numFmtId="164" fontId="51" fillId="0" borderId="0" xfId="1" applyFont="1"/>
    <xf numFmtId="164" fontId="15" fillId="0" borderId="40" xfId="1" applyFont="1" applyFill="1" applyBorder="1" applyAlignment="1" applyProtection="1">
      <alignment horizontal="center" vertical="center" wrapText="1"/>
    </xf>
    <xf numFmtId="164" fontId="3" fillId="0" borderId="41" xfId="1" applyFont="1" applyFill="1" applyBorder="1" applyAlignment="1" applyProtection="1">
      <alignment horizontal="center" vertical="center"/>
    </xf>
    <xf numFmtId="164" fontId="36" fillId="0" borderId="5" xfId="1" applyFont="1" applyFill="1" applyBorder="1" applyAlignment="1" applyProtection="1">
      <alignment horizontal="center" vertical="center"/>
    </xf>
    <xf numFmtId="164" fontId="36" fillId="0" borderId="42" xfId="1" applyFont="1" applyFill="1" applyBorder="1" applyAlignment="1" applyProtection="1">
      <alignment horizontal="center" vertical="center"/>
    </xf>
    <xf numFmtId="164" fontId="43" fillId="0" borderId="21" xfId="1" applyFont="1" applyFill="1" applyBorder="1" applyAlignment="1" applyProtection="1">
      <alignment horizontal="center" vertical="center" wrapText="1"/>
    </xf>
    <xf numFmtId="0" fontId="43" fillId="0" borderId="21" xfId="1" applyNumberFormat="1" applyFont="1" applyFill="1" applyBorder="1" applyAlignment="1" applyProtection="1">
      <alignment horizontal="center" vertical="center" wrapText="1"/>
    </xf>
    <xf numFmtId="164" fontId="43" fillId="0" borderId="23" xfId="1" applyFont="1" applyFill="1" applyBorder="1" applyAlignment="1" applyProtection="1">
      <alignment horizontal="center" vertical="center" wrapText="1"/>
    </xf>
    <xf numFmtId="0" fontId="40" fillId="0" borderId="24" xfId="0" applyFont="1" applyFill="1" applyBorder="1" applyAlignment="1">
      <alignment horizontal="center" vertical="center"/>
    </xf>
    <xf numFmtId="43" fontId="8" fillId="0" borderId="25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164" fontId="8" fillId="0" borderId="5" xfId="1" applyFont="1" applyFill="1" applyBorder="1" applyAlignment="1" applyProtection="1">
      <alignment horizontal="center" vertical="center" wrapText="1"/>
    </xf>
    <xf numFmtId="43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NumberFormat="1" applyFont="1" applyFill="1" applyBorder="1" applyAlignment="1" applyProtection="1">
      <alignment horizontal="center" vertical="center"/>
    </xf>
    <xf numFmtId="164" fontId="6" fillId="0" borderId="43" xfId="1" applyNumberFormat="1" applyFont="1" applyFill="1" applyBorder="1" applyAlignment="1" applyProtection="1">
      <alignment horizontal="center" vertical="center"/>
    </xf>
    <xf numFmtId="0" fontId="8" fillId="0" borderId="29" xfId="1" applyNumberFormat="1" applyFont="1" applyFill="1" applyBorder="1" applyAlignment="1" applyProtection="1">
      <alignment horizontal="center" vertical="center" wrapText="1"/>
    </xf>
    <xf numFmtId="164" fontId="8" fillId="0" borderId="29" xfId="1" applyFont="1" applyFill="1" applyBorder="1" applyAlignment="1" applyProtection="1">
      <alignment horizontal="center" vertical="center" wrapText="1"/>
    </xf>
    <xf numFmtId="43" fontId="8" fillId="0" borderId="30" xfId="1" applyNumberFormat="1" applyFont="1" applyFill="1" applyBorder="1" applyAlignment="1" applyProtection="1">
      <alignment horizontal="center" vertical="center" wrapText="1"/>
    </xf>
    <xf numFmtId="43" fontId="39" fillId="0" borderId="30" xfId="1" applyNumberFormat="1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>
      <alignment horizontal="left" vertical="center"/>
    </xf>
    <xf numFmtId="0" fontId="8" fillId="0" borderId="46" xfId="1" applyNumberFormat="1" applyFont="1" applyFill="1" applyBorder="1" applyAlignment="1" applyProtection="1">
      <alignment horizontal="center" vertical="center" wrapText="1"/>
    </xf>
    <xf numFmtId="164" fontId="4" fillId="0" borderId="43" xfId="1" applyFont="1" applyFill="1" applyBorder="1" applyAlignment="1" applyProtection="1"/>
    <xf numFmtId="0" fontId="8" fillId="0" borderId="47" xfId="0" applyFont="1" applyFill="1" applyBorder="1"/>
    <xf numFmtId="164" fontId="8" fillId="0" borderId="44" xfId="1" applyFont="1" applyFill="1" applyBorder="1" applyAlignment="1" applyProtection="1"/>
    <xf numFmtId="0" fontId="8" fillId="0" borderId="24" xfId="0" applyFont="1" applyFill="1" applyBorder="1"/>
    <xf numFmtId="167" fontId="8" fillId="0" borderId="44" xfId="1" applyNumberFormat="1" applyFont="1" applyFill="1" applyBorder="1" applyAlignment="1" applyProtection="1"/>
    <xf numFmtId="171" fontId="8" fillId="0" borderId="44" xfId="1" applyNumberFormat="1" applyFont="1" applyFill="1" applyBorder="1" applyAlignment="1" applyProtection="1"/>
    <xf numFmtId="168" fontId="8" fillId="0" borderId="44" xfId="1" applyNumberFormat="1" applyFont="1" applyFill="1" applyBorder="1" applyAlignment="1" applyProtection="1"/>
    <xf numFmtId="164" fontId="52" fillId="0" borderId="2" xfId="1" applyFont="1" applyFill="1" applyBorder="1" applyAlignment="1" applyProtection="1"/>
    <xf numFmtId="164" fontId="39" fillId="6" borderId="2" xfId="1" applyFont="1" applyFill="1" applyBorder="1" applyAlignment="1" applyProtection="1"/>
    <xf numFmtId="0" fontId="53" fillId="0" borderId="0" xfId="0" applyFont="1" applyFill="1" applyBorder="1" applyAlignment="1">
      <alignment horizontal="center"/>
    </xf>
    <xf numFmtId="164" fontId="53" fillId="6" borderId="0" xfId="1" applyFont="1" applyFill="1" applyBorder="1" applyAlignment="1" applyProtection="1"/>
    <xf numFmtId="164" fontId="53" fillId="0" borderId="0" xfId="1" applyFont="1" applyFill="1" applyBorder="1" applyAlignment="1" applyProtection="1"/>
    <xf numFmtId="164" fontId="53" fillId="0" borderId="2" xfId="1" applyFont="1" applyFill="1" applyBorder="1" applyAlignment="1" applyProtection="1"/>
    <xf numFmtId="164" fontId="54" fillId="0" borderId="0" xfId="1" applyFont="1" applyFill="1" applyBorder="1" applyAlignment="1" applyProtection="1"/>
    <xf numFmtId="164" fontId="53" fillId="0" borderId="44" xfId="1" applyFont="1" applyFill="1" applyBorder="1" applyAlignment="1" applyProtection="1"/>
    <xf numFmtId="0" fontId="53" fillId="0" borderId="2" xfId="0" applyFont="1" applyFill="1" applyBorder="1" applyAlignment="1">
      <alignment horizontal="center"/>
    </xf>
    <xf numFmtId="164" fontId="55" fillId="0" borderId="2" xfId="1" applyFont="1" applyFill="1" applyBorder="1" applyAlignment="1" applyProtection="1"/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164" fontId="39" fillId="0" borderId="3" xfId="1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/>
    </xf>
    <xf numFmtId="164" fontId="8" fillId="0" borderId="44" xfId="1" applyFont="1" applyFill="1" applyBorder="1" applyAlignment="1" applyProtection="1">
      <alignment horizontal="center"/>
    </xf>
    <xf numFmtId="0" fontId="8" fillId="0" borderId="28" xfId="0" applyFont="1" applyFill="1" applyBorder="1" applyAlignment="1">
      <alignment horizontal="center"/>
    </xf>
    <xf numFmtId="164" fontId="8" fillId="6" borderId="29" xfId="1" applyFont="1" applyFill="1" applyBorder="1" applyAlignment="1" applyProtection="1"/>
    <xf numFmtId="164" fontId="5" fillId="0" borderId="33" xfId="1" applyFont="1" applyFill="1" applyBorder="1" applyAlignment="1" applyProtection="1"/>
    <xf numFmtId="164" fontId="8" fillId="0" borderId="33" xfId="1" applyFont="1" applyFill="1" applyBorder="1" applyAlignment="1" applyProtection="1"/>
    <xf numFmtId="164" fontId="8" fillId="0" borderId="48" xfId="1" applyNumberFormat="1" applyFont="1" applyFill="1" applyBorder="1" applyAlignment="1" applyProtection="1"/>
    <xf numFmtId="164" fontId="8" fillId="0" borderId="30" xfId="1" applyFont="1" applyFill="1" applyBorder="1" applyAlignment="1" applyProtection="1">
      <alignment horizontal="center" vertical="center" wrapText="1"/>
    </xf>
    <xf numFmtId="0" fontId="41" fillId="0" borderId="29" xfId="0" applyFont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45" fillId="0" borderId="1" xfId="0" applyFont="1" applyFill="1" applyBorder="1" applyAlignment="1"/>
    <xf numFmtId="164" fontId="8" fillId="0" borderId="22" xfId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vertical="center"/>
    </xf>
    <xf numFmtId="164" fontId="4" fillId="0" borderId="2" xfId="1" applyFont="1" applyFill="1" applyBorder="1" applyAlignment="1" applyProtection="1">
      <alignment horizontal="center" vertical="center"/>
    </xf>
    <xf numFmtId="164" fontId="4" fillId="0" borderId="0" xfId="1" applyFont="1"/>
    <xf numFmtId="164" fontId="4" fillId="0" borderId="2" xfId="1" applyFont="1" applyBorder="1" applyProtection="1"/>
    <xf numFmtId="164" fontId="57" fillId="0" borderId="2" xfId="1" applyFont="1" applyFill="1" applyBorder="1" applyAlignment="1" applyProtection="1">
      <alignment horizontal="center" vertical="center"/>
    </xf>
    <xf numFmtId="172" fontId="4" fillId="0" borderId="0" xfId="1" applyNumberFormat="1" applyFont="1" applyFill="1" applyBorder="1" applyAlignment="1" applyProtection="1"/>
    <xf numFmtId="172" fontId="8" fillId="0" borderId="0" xfId="1" applyNumberFormat="1" applyFont="1" applyFill="1" applyBorder="1" applyAlignment="1" applyProtection="1"/>
    <xf numFmtId="164" fontId="4" fillId="0" borderId="0" xfId="1" applyFont="1" applyFill="1" applyBorder="1" applyAlignment="1" applyProtection="1">
      <alignment horizontal="center"/>
    </xf>
    <xf numFmtId="164" fontId="40" fillId="6" borderId="0" xfId="1" applyNumberFormat="1" applyFont="1" applyFill="1" applyBorder="1" applyAlignment="1" applyProtection="1"/>
    <xf numFmtId="164" fontId="8" fillId="0" borderId="21" xfId="1" applyFont="1" applyFill="1" applyBorder="1" applyAlignment="1" applyProtection="1">
      <alignment horizontal="center" vertical="center" wrapText="1"/>
    </xf>
    <xf numFmtId="0" fontId="8" fillId="0" borderId="21" xfId="1" applyNumberFormat="1" applyFont="1" applyFill="1" applyBorder="1" applyAlignment="1" applyProtection="1">
      <alignment horizontal="center" vertical="center" wrapText="1"/>
    </xf>
    <xf numFmtId="164" fontId="8" fillId="0" borderId="20" xfId="1" applyFont="1" applyFill="1" applyBorder="1" applyAlignment="1" applyProtection="1">
      <alignment horizontal="center" vertical="center" wrapText="1"/>
    </xf>
    <xf numFmtId="0" fontId="40" fillId="0" borderId="2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41" fillId="0" borderId="6" xfId="0" applyFont="1" applyBorder="1" applyAlignment="1">
      <alignment horizontal="center" vertical="center"/>
    </xf>
    <xf numFmtId="43" fontId="8" fillId="0" borderId="24" xfId="1" applyNumberFormat="1" applyFont="1" applyFill="1" applyBorder="1" applyAlignment="1" applyProtection="1">
      <alignment horizontal="center" vertical="center" wrapText="1"/>
    </xf>
    <xf numFmtId="164" fontId="8" fillId="0" borderId="31" xfId="1" applyFont="1" applyFill="1" applyBorder="1" applyAlignment="1" applyProtection="1">
      <alignment horizontal="center" vertical="center" wrapText="1"/>
    </xf>
    <xf numFmtId="164" fontId="39" fillId="0" borderId="32" xfId="1" applyFont="1" applyBorder="1" applyAlignment="1" applyProtection="1">
      <alignment vertical="center"/>
    </xf>
    <xf numFmtId="43" fontId="39" fillId="0" borderId="31" xfId="1" applyNumberFormat="1" applyFont="1" applyFill="1" applyBorder="1" applyAlignment="1" applyProtection="1">
      <alignment horizontal="center" vertical="center" wrapText="1"/>
    </xf>
    <xf numFmtId="43" fontId="8" fillId="0" borderId="32" xfId="1" applyNumberFormat="1" applyFont="1" applyFill="1" applyBorder="1" applyAlignment="1" applyProtection="1">
      <alignment horizontal="center" vertical="center" wrapText="1"/>
    </xf>
    <xf numFmtId="164" fontId="8" fillId="0" borderId="40" xfId="1" applyFont="1" applyFill="1" applyBorder="1" applyAlignment="1" applyProtection="1">
      <alignment horizontal="center" vertical="center" wrapText="1"/>
    </xf>
    <xf numFmtId="164" fontId="19" fillId="0" borderId="41" xfId="1" applyFont="1" applyFill="1" applyBorder="1" applyAlignment="1" applyProtection="1">
      <alignment horizontal="center" vertical="center"/>
    </xf>
    <xf numFmtId="164" fontId="6" fillId="0" borderId="5" xfId="1" applyFont="1" applyFill="1" applyBorder="1" applyAlignment="1" applyProtection="1">
      <alignment horizontal="center" vertical="center"/>
    </xf>
    <xf numFmtId="164" fontId="6" fillId="0" borderId="42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/>
    <xf numFmtId="164" fontId="11" fillId="0" borderId="44" xfId="1" applyFont="1" applyBorder="1" applyProtection="1"/>
    <xf numFmtId="0" fontId="0" fillId="0" borderId="0" xfId="0" applyFont="1" applyFill="1" applyBorder="1"/>
    <xf numFmtId="0" fontId="8" fillId="0" borderId="24" xfId="0" applyFont="1" applyFill="1" applyBorder="1" applyAlignment="1">
      <alignment horizontal="right"/>
    </xf>
    <xf numFmtId="164" fontId="19" fillId="0" borderId="44" xfId="1" applyFont="1" applyFill="1" applyBorder="1" applyAlignment="1" applyProtection="1">
      <alignment horizontal="center"/>
    </xf>
    <xf numFmtId="0" fontId="0" fillId="0" borderId="33" xfId="0" applyFont="1" applyFill="1" applyBorder="1"/>
    <xf numFmtId="164" fontId="19" fillId="0" borderId="48" xfId="1" applyFont="1" applyFill="1" applyBorder="1" applyAlignment="1" applyProtection="1"/>
    <xf numFmtId="0" fontId="40" fillId="0" borderId="26" xfId="0" applyFont="1" applyFill="1" applyBorder="1" applyAlignment="1">
      <alignment vertical="center"/>
    </xf>
    <xf numFmtId="0" fontId="40" fillId="0" borderId="26" xfId="0" applyFont="1" applyFill="1" applyBorder="1" applyAlignment="1">
      <alignment horizontal="left" vertical="center"/>
    </xf>
    <xf numFmtId="164" fontId="58" fillId="0" borderId="3" xfId="1" applyFont="1" applyFill="1" applyBorder="1" applyAlignment="1" applyProtection="1"/>
    <xf numFmtId="164" fontId="58" fillId="0" borderId="31" xfId="1" applyFont="1" applyFill="1" applyBorder="1" applyAlignment="1" applyProtection="1">
      <alignment horizontal="center" vertical="center" wrapText="1"/>
    </xf>
    <xf numFmtId="164" fontId="58" fillId="0" borderId="2" xfId="1" applyFont="1" applyFill="1" applyBorder="1" applyAlignment="1" applyProtection="1"/>
    <xf numFmtId="10" fontId="58" fillId="0" borderId="2" xfId="0" applyNumberFormat="1" applyFont="1" applyFill="1" applyBorder="1" applyAlignment="1">
      <alignment horizontal="center"/>
    </xf>
    <xf numFmtId="164" fontId="8" fillId="6" borderId="3" xfId="1" applyFont="1" applyFill="1" applyBorder="1" applyAlignment="1" applyProtection="1"/>
    <xf numFmtId="164" fontId="8" fillId="6" borderId="30" xfId="1" applyFont="1" applyFill="1" applyBorder="1" applyAlignment="1" applyProtection="1"/>
    <xf numFmtId="164" fontId="39" fillId="6" borderId="29" xfId="1" applyFont="1" applyFill="1" applyBorder="1" applyAlignment="1" applyProtection="1"/>
    <xf numFmtId="164" fontId="4" fillId="6" borderId="2" xfId="1" applyFont="1" applyFill="1" applyBorder="1" applyAlignment="1" applyProtection="1">
      <alignment horizontal="center" vertical="center"/>
    </xf>
    <xf numFmtId="164" fontId="40" fillId="0" borderId="40" xfId="1" applyFont="1" applyFill="1" applyBorder="1" applyAlignment="1" applyProtection="1">
      <alignment horizontal="center" vertical="center" wrapText="1"/>
    </xf>
    <xf numFmtId="164" fontId="4" fillId="0" borderId="4" xfId="1" applyFont="1" applyFill="1" applyBorder="1" applyAlignment="1" applyProtection="1">
      <alignment horizontal="center" vertical="center"/>
    </xf>
    <xf numFmtId="0" fontId="8" fillId="0" borderId="26" xfId="0" applyFont="1" applyBorder="1" applyAlignment="1">
      <alignment vertical="center"/>
    </xf>
    <xf numFmtId="164" fontId="4" fillId="6" borderId="25" xfId="1" applyFont="1" applyFill="1" applyBorder="1" applyAlignment="1" applyProtection="1">
      <alignment horizontal="center" vertical="center"/>
    </xf>
    <xf numFmtId="164" fontId="4" fillId="0" borderId="25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/>
    <xf numFmtId="164" fontId="4" fillId="0" borderId="44" xfId="1" applyFont="1" applyBorder="1" applyProtection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4" fillId="0" borderId="44" xfId="1" applyFont="1" applyFill="1" applyBorder="1" applyAlignment="1" applyProtection="1">
      <alignment horizontal="center"/>
    </xf>
    <xf numFmtId="0" fontId="4" fillId="0" borderId="33" xfId="0" applyFont="1" applyFill="1" applyBorder="1"/>
    <xf numFmtId="164" fontId="4" fillId="0" borderId="33" xfId="1" applyFont="1" applyFill="1" applyBorder="1" applyAlignment="1" applyProtection="1"/>
    <xf numFmtId="164" fontId="8" fillId="6" borderId="28" xfId="1" applyFont="1" applyFill="1" applyBorder="1" applyAlignment="1" applyProtection="1"/>
    <xf numFmtId="164" fontId="4" fillId="0" borderId="48" xfId="1" applyFont="1" applyFill="1" applyBorder="1" applyAlignment="1" applyProtection="1"/>
    <xf numFmtId="0" fontId="60" fillId="0" borderId="0" xfId="0" applyFont="1" applyBorder="1" applyAlignment="1">
      <alignment horizontal="center"/>
    </xf>
    <xf numFmtId="0" fontId="61" fillId="0" borderId="0" xfId="0" applyFont="1"/>
    <xf numFmtId="0" fontId="61" fillId="0" borderId="18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 vertical="center"/>
    </xf>
    <xf numFmtId="0" fontId="61" fillId="0" borderId="0" xfId="0" applyFont="1" applyBorder="1"/>
    <xf numFmtId="177" fontId="61" fillId="0" borderId="0" xfId="0" applyNumberFormat="1" applyFont="1" applyBorder="1" applyAlignment="1">
      <alignment horizontal="center" vertical="center"/>
    </xf>
    <xf numFmtId="177" fontId="60" fillId="0" borderId="0" xfId="0" applyNumberFormat="1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77" fontId="59" fillId="10" borderId="21" xfId="0" applyNumberFormat="1" applyFont="1" applyFill="1" applyBorder="1" applyAlignment="1">
      <alignment horizontal="center" vertical="center"/>
    </xf>
    <xf numFmtId="0" fontId="62" fillId="0" borderId="24" xfId="0" applyFont="1" applyBorder="1" applyAlignment="1">
      <alignment horizontal="center" vertical="center" wrapText="1"/>
    </xf>
    <xf numFmtId="177" fontId="59" fillId="6" borderId="25" xfId="0" applyNumberFormat="1" applyFont="1" applyFill="1" applyBorder="1" applyAlignment="1" applyProtection="1">
      <alignment vertical="center"/>
      <protection locked="0"/>
    </xf>
    <xf numFmtId="0" fontId="62" fillId="0" borderId="0" xfId="0" applyFont="1"/>
    <xf numFmtId="0" fontId="62" fillId="0" borderId="2" xfId="0" applyFont="1" applyFill="1" applyBorder="1" applyAlignment="1">
      <alignment horizontal="left" vertical="center"/>
    </xf>
    <xf numFmtId="10" fontId="59" fillId="6" borderId="2" xfId="0" applyNumberFormat="1" applyFont="1" applyFill="1" applyBorder="1" applyAlignment="1" applyProtection="1">
      <alignment horizontal="center" vertical="center"/>
      <protection locked="0"/>
    </xf>
    <xf numFmtId="177" fontId="62" fillId="0" borderId="25" xfId="1" applyNumberFormat="1" applyFont="1" applyFill="1" applyBorder="1" applyAlignment="1" applyProtection="1">
      <alignment vertical="center"/>
    </xf>
    <xf numFmtId="0" fontId="59" fillId="10" borderId="29" xfId="0" applyFont="1" applyFill="1" applyBorder="1"/>
    <xf numFmtId="10" fontId="59" fillId="10" borderId="29" xfId="0" applyNumberFormat="1" applyFont="1" applyFill="1" applyBorder="1" applyAlignment="1">
      <alignment horizontal="center" vertical="center"/>
    </xf>
    <xf numFmtId="177" fontId="62" fillId="10" borderId="31" xfId="1" applyNumberFormat="1" applyFont="1" applyFill="1" applyBorder="1" applyAlignment="1" applyProtection="1">
      <alignment vertical="center"/>
    </xf>
    <xf numFmtId="0" fontId="60" fillId="0" borderId="49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0" fillId="0" borderId="18" xfId="0" applyFont="1" applyBorder="1" applyAlignment="1">
      <alignment horizontal="center"/>
    </xf>
    <xf numFmtId="164" fontId="62" fillId="0" borderId="2" xfId="1" applyFont="1" applyFill="1" applyBorder="1" applyAlignment="1" applyProtection="1">
      <alignment horizontal="center" vertical="center" wrapText="1"/>
    </xf>
    <xf numFmtId="0" fontId="62" fillId="0" borderId="2" xfId="0" applyFont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164" fontId="62" fillId="0" borderId="25" xfId="1" applyFont="1" applyFill="1" applyBorder="1" applyAlignment="1" applyProtection="1">
      <alignment horizontal="center" vertical="center" wrapText="1"/>
    </xf>
    <xf numFmtId="177" fontId="62" fillId="0" borderId="2" xfId="0" applyNumberFormat="1" applyFont="1" applyBorder="1" applyAlignment="1">
      <alignment horizontal="center" vertical="center"/>
    </xf>
    <xf numFmtId="177" fontId="62" fillId="0" borderId="2" xfId="1" applyNumberFormat="1" applyFont="1" applyFill="1" applyBorder="1" applyAlignment="1" applyProtection="1">
      <alignment horizontal="center" vertical="center" wrapText="1"/>
    </xf>
    <xf numFmtId="0" fontId="64" fillId="10" borderId="29" xfId="0" applyFont="1" applyFill="1" applyBorder="1" applyAlignment="1">
      <alignment horizontal="center" vertical="center"/>
    </xf>
    <xf numFmtId="177" fontId="59" fillId="10" borderId="31" xfId="0" applyNumberFormat="1" applyFont="1" applyFill="1" applyBorder="1"/>
    <xf numFmtId="0" fontId="62" fillId="0" borderId="0" xfId="0" applyFont="1" applyFill="1" applyBorder="1" applyAlignment="1">
      <alignment horizontal="center" vertical="center"/>
    </xf>
    <xf numFmtId="0" fontId="62" fillId="0" borderId="0" xfId="1" applyNumberFormat="1" applyFont="1" applyFill="1" applyBorder="1" applyAlignment="1" applyProtection="1">
      <alignment horizontal="center" vertical="center" wrapText="1"/>
    </xf>
    <xf numFmtId="164" fontId="62" fillId="0" borderId="0" xfId="1" applyFont="1" applyFill="1" applyBorder="1" applyAlignment="1" applyProtection="1">
      <alignment horizontal="center" vertical="center" wrapText="1"/>
    </xf>
    <xf numFmtId="176" fontId="62" fillId="0" borderId="0" xfId="1" applyNumberFormat="1" applyFont="1" applyBorder="1" applyAlignment="1" applyProtection="1">
      <alignment horizontal="center" vertical="center"/>
    </xf>
    <xf numFmtId="43" fontId="62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Font="1" applyFill="1" applyBorder="1" applyAlignment="1" applyProtection="1"/>
    <xf numFmtId="0" fontId="61" fillId="0" borderId="0" xfId="0" applyFont="1" applyFill="1" applyBorder="1"/>
    <xf numFmtId="176" fontId="61" fillId="0" borderId="0" xfId="1" applyNumberFormat="1" applyFont="1" applyBorder="1" applyAlignment="1" applyProtection="1">
      <alignment horizontal="center" vertical="center"/>
    </xf>
    <xf numFmtId="43" fontId="61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NumberFormat="1" applyFont="1" applyBorder="1" applyAlignment="1" applyProtection="1">
      <alignment horizontal="center" vertical="center"/>
    </xf>
    <xf numFmtId="0" fontId="61" fillId="0" borderId="0" xfId="0" applyFont="1" applyFill="1" applyBorder="1" applyAlignment="1">
      <alignment horizontal="center"/>
    </xf>
    <xf numFmtId="10" fontId="61" fillId="0" borderId="0" xfId="0" applyNumberFormat="1" applyFont="1" applyFill="1" applyBorder="1" applyAlignment="1"/>
    <xf numFmtId="164" fontId="61" fillId="0" borderId="0" xfId="1" applyNumberFormat="1" applyFont="1" applyFill="1" applyBorder="1" applyAlignment="1" applyProtection="1"/>
    <xf numFmtId="10" fontId="61" fillId="0" borderId="0" xfId="1" applyNumberFormat="1" applyFont="1" applyFill="1" applyBorder="1" applyAlignment="1" applyProtection="1"/>
    <xf numFmtId="164" fontId="65" fillId="0" borderId="0" xfId="1" applyFont="1" applyFill="1" applyBorder="1" applyAlignment="1" applyProtection="1"/>
    <xf numFmtId="178" fontId="61" fillId="0" borderId="0" xfId="0" applyNumberFormat="1" applyFont="1"/>
    <xf numFmtId="177" fontId="60" fillId="0" borderId="0" xfId="0" applyNumberFormat="1" applyFont="1" applyBorder="1" applyAlignment="1">
      <alignment horizontal="center" vertical="center"/>
    </xf>
    <xf numFmtId="177" fontId="62" fillId="0" borderId="0" xfId="0" applyNumberFormat="1" applyFont="1"/>
    <xf numFmtId="177" fontId="60" fillId="0" borderId="49" xfId="0" applyNumberFormat="1" applyFont="1" applyBorder="1" applyAlignment="1">
      <alignment horizontal="center"/>
    </xf>
    <xf numFmtId="0" fontId="59" fillId="10" borderId="32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0" fontId="62" fillId="0" borderId="2" xfId="0" applyNumberFormat="1" applyFont="1" applyFill="1" applyBorder="1" applyAlignment="1" applyProtection="1">
      <alignment horizontal="center" vertical="center"/>
    </xf>
    <xf numFmtId="177" fontId="59" fillId="0" borderId="2" xfId="0" applyNumberFormat="1" applyFont="1" applyFill="1" applyBorder="1" applyAlignment="1" applyProtection="1">
      <alignment vertical="center"/>
    </xf>
    <xf numFmtId="0" fontId="59" fillId="10" borderId="34" xfId="1" applyNumberFormat="1" applyFont="1" applyFill="1" applyBorder="1" applyAlignment="1" applyProtection="1">
      <alignment horizontal="center" vertical="center"/>
    </xf>
    <xf numFmtId="0" fontId="66" fillId="6" borderId="25" xfId="1" applyNumberFormat="1" applyFont="1" applyFill="1" applyBorder="1" applyAlignment="1" applyProtection="1">
      <alignment horizontal="center" vertical="center"/>
    </xf>
    <xf numFmtId="177" fontId="66" fillId="6" borderId="6" xfId="0" applyNumberFormat="1" applyFont="1" applyFill="1" applyBorder="1" applyAlignment="1">
      <alignment horizontal="center" vertical="center"/>
    </xf>
    <xf numFmtId="177" fontId="59" fillId="6" borderId="2" xfId="1" applyNumberFormat="1" applyFont="1" applyFill="1" applyBorder="1" applyAlignment="1" applyProtection="1">
      <alignment horizontal="center" vertical="center" wrapText="1"/>
      <protection locked="0"/>
    </xf>
    <xf numFmtId="177" fontId="59" fillId="0" borderId="2" xfId="1" applyNumberFormat="1" applyFont="1" applyFill="1" applyBorder="1" applyAlignment="1" applyProtection="1">
      <alignment horizontal="center" vertical="center" wrapText="1"/>
    </xf>
    <xf numFmtId="177" fontId="59" fillId="0" borderId="2" xfId="0" applyNumberFormat="1" applyFont="1" applyFill="1" applyBorder="1" applyAlignment="1">
      <alignment vertical="center" wrapText="1"/>
    </xf>
    <xf numFmtId="1" fontId="62" fillId="0" borderId="2" xfId="1" applyNumberFormat="1" applyFont="1" applyFill="1" applyBorder="1" applyAlignment="1" applyProtection="1">
      <alignment horizontal="center" vertical="center" wrapText="1"/>
    </xf>
    <xf numFmtId="177" fontId="62" fillId="0" borderId="25" xfId="0" applyNumberFormat="1" applyFont="1" applyBorder="1" applyAlignment="1">
      <alignment horizontal="center" vertical="center"/>
    </xf>
    <xf numFmtId="177" fontId="62" fillId="0" borderId="25" xfId="1" applyNumberFormat="1" applyFont="1" applyFill="1" applyBorder="1" applyAlignment="1" applyProtection="1">
      <alignment horizontal="center" vertical="center" wrapText="1"/>
    </xf>
    <xf numFmtId="10" fontId="59" fillId="10" borderId="32" xfId="0" applyNumberFormat="1" applyFont="1" applyFill="1" applyBorder="1" applyAlignment="1">
      <alignment horizontal="center" vertical="center"/>
    </xf>
    <xf numFmtId="10" fontId="62" fillId="0" borderId="24" xfId="0" applyNumberFormat="1" applyFont="1" applyBorder="1" applyAlignment="1">
      <alignment horizontal="center" vertical="center"/>
    </xf>
    <xf numFmtId="9" fontId="19" fillId="0" borderId="0" xfId="2" applyBorder="1" applyProtection="1"/>
    <xf numFmtId="177" fontId="59" fillId="12" borderId="29" xfId="0" applyNumberFormat="1" applyFont="1" applyFill="1" applyBorder="1"/>
    <xf numFmtId="177" fontId="59" fillId="0" borderId="0" xfId="1" applyNumberFormat="1" applyFont="1" applyFill="1" applyBorder="1" applyAlignment="1" applyProtection="1">
      <alignment horizontal="center" vertical="center"/>
    </xf>
    <xf numFmtId="177" fontId="62" fillId="0" borderId="43" xfId="1" applyNumberFormat="1" applyFont="1" applyFill="1" applyBorder="1" applyAlignment="1" applyProtection="1">
      <alignment horizontal="center" vertical="center" wrapText="1"/>
    </xf>
    <xf numFmtId="177" fontId="59" fillId="10" borderId="54" xfId="1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0" fillId="0" borderId="0" xfId="0" applyFont="1" applyBorder="1" applyAlignment="1">
      <alignment horizontal="left" wrapText="1"/>
    </xf>
    <xf numFmtId="177" fontId="59" fillId="10" borderId="30" xfId="0" applyNumberFormat="1" applyFont="1" applyFill="1" applyBorder="1" applyAlignment="1" applyProtection="1">
      <alignment horizontal="center" vertical="center"/>
    </xf>
    <xf numFmtId="177" fontId="59" fillId="10" borderId="42" xfId="0" applyNumberFormat="1" applyFont="1" applyFill="1" applyBorder="1" applyAlignment="1" applyProtection="1">
      <alignment horizontal="center" vertical="center"/>
    </xf>
    <xf numFmtId="0" fontId="62" fillId="0" borderId="24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0" fontId="63" fillId="0" borderId="3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0" fontId="59" fillId="11" borderId="20" xfId="0" applyFont="1" applyFill="1" applyBorder="1" applyAlignment="1">
      <alignment horizontal="center" vertical="center"/>
    </xf>
    <xf numFmtId="0" fontId="59" fillId="11" borderId="21" xfId="0" applyFont="1" applyFill="1" applyBorder="1" applyAlignment="1">
      <alignment horizontal="center" vertical="center"/>
    </xf>
    <xf numFmtId="0" fontId="59" fillId="11" borderId="32" xfId="0" applyFont="1" applyFill="1" applyBorder="1" applyAlignment="1">
      <alignment horizontal="center" vertical="center"/>
    </xf>
    <xf numFmtId="0" fontId="59" fillId="11" borderId="29" xfId="0" applyFont="1" applyFill="1" applyBorder="1" applyAlignment="1">
      <alignment horizontal="center" vertical="center"/>
    </xf>
    <xf numFmtId="177" fontId="59" fillId="11" borderId="21" xfId="0" applyNumberFormat="1" applyFont="1" applyFill="1" applyBorder="1" applyAlignment="1">
      <alignment horizontal="center" vertical="center"/>
    </xf>
    <xf numFmtId="177" fontId="59" fillId="11" borderId="23" xfId="0" applyNumberFormat="1" applyFont="1" applyFill="1" applyBorder="1" applyAlignment="1">
      <alignment horizontal="center" vertical="center"/>
    </xf>
    <xf numFmtId="177" fontId="59" fillId="11" borderId="29" xfId="0" applyNumberFormat="1" applyFont="1" applyFill="1" applyBorder="1" applyAlignment="1">
      <alignment horizontal="center" vertical="center"/>
    </xf>
    <xf numFmtId="177" fontId="59" fillId="11" borderId="31" xfId="0" applyNumberFormat="1" applyFont="1" applyFill="1" applyBorder="1" applyAlignment="1">
      <alignment horizontal="center" vertical="center"/>
    </xf>
    <xf numFmtId="177" fontId="59" fillId="12" borderId="30" xfId="0" applyNumberFormat="1" applyFont="1" applyFill="1" applyBorder="1" applyAlignment="1">
      <alignment horizontal="center" vertical="center"/>
    </xf>
    <xf numFmtId="177" fontId="59" fillId="12" borderId="52" xfId="0" applyNumberFormat="1" applyFont="1" applyFill="1" applyBorder="1" applyAlignment="1">
      <alignment horizontal="center" vertical="center"/>
    </xf>
    <xf numFmtId="177" fontId="59" fillId="6" borderId="39" xfId="0" applyNumberFormat="1" applyFont="1" applyFill="1" applyBorder="1" applyAlignment="1">
      <alignment horizontal="center" vertical="center" wrapText="1"/>
    </xf>
    <xf numFmtId="177" fontId="59" fillId="6" borderId="6" xfId="0" applyNumberFormat="1" applyFont="1" applyFill="1" applyBorder="1" applyAlignment="1">
      <alignment horizontal="center" vertical="center" wrapText="1"/>
    </xf>
    <xf numFmtId="0" fontId="59" fillId="9" borderId="50" xfId="0" applyFont="1" applyFill="1" applyBorder="1" applyAlignment="1">
      <alignment horizontal="center"/>
    </xf>
    <xf numFmtId="0" fontId="59" fillId="9" borderId="51" xfId="0" applyFont="1" applyFill="1" applyBorder="1" applyAlignment="1">
      <alignment horizontal="center"/>
    </xf>
    <xf numFmtId="0" fontId="59" fillId="9" borderId="40" xfId="0" applyFont="1" applyFill="1" applyBorder="1" applyAlignment="1">
      <alignment horizontal="center"/>
    </xf>
    <xf numFmtId="177" fontId="59" fillId="9" borderId="52" xfId="0" applyNumberFormat="1" applyFont="1" applyFill="1" applyBorder="1" applyAlignment="1">
      <alignment horizontal="center" vertical="center"/>
    </xf>
    <xf numFmtId="177" fontId="59" fillId="9" borderId="42" xfId="0" applyNumberFormat="1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62" fillId="9" borderId="32" xfId="0" applyFont="1" applyFill="1" applyBorder="1" applyAlignment="1">
      <alignment horizontal="center"/>
    </xf>
    <xf numFmtId="0" fontId="62" fillId="9" borderId="29" xfId="0" applyFont="1" applyFill="1" applyBorder="1" applyAlignment="1">
      <alignment horizontal="center"/>
    </xf>
    <xf numFmtId="0" fontId="59" fillId="9" borderId="30" xfId="0" applyFont="1" applyFill="1" applyBorder="1" applyAlignment="1">
      <alignment horizontal="center" vertical="center"/>
    </xf>
    <xf numFmtId="0" fontId="59" fillId="9" borderId="52" xfId="0" applyFont="1" applyFill="1" applyBorder="1" applyAlignment="1">
      <alignment horizontal="center" vertical="center"/>
    </xf>
    <xf numFmtId="0" fontId="59" fillId="10" borderId="22" xfId="1" applyNumberFormat="1" applyFont="1" applyFill="1" applyBorder="1" applyAlignment="1" applyProtection="1">
      <alignment horizontal="center" vertical="center"/>
    </xf>
    <xf numFmtId="0" fontId="59" fillId="10" borderId="40" xfId="1" applyNumberFormat="1" applyFont="1" applyFill="1" applyBorder="1" applyAlignment="1" applyProtection="1">
      <alignment horizontal="center" vertical="center"/>
    </xf>
    <xf numFmtId="0" fontId="59" fillId="10" borderId="15" xfId="0" applyFont="1" applyFill="1" applyBorder="1" applyAlignment="1">
      <alignment horizontal="center" vertical="center"/>
    </xf>
    <xf numFmtId="0" fontId="59" fillId="10" borderId="16" xfId="0" applyFont="1" applyFill="1" applyBorder="1" applyAlignment="1">
      <alignment horizontal="center" vertical="center"/>
    </xf>
    <xf numFmtId="0" fontId="59" fillId="10" borderId="45" xfId="0" applyFont="1" applyFill="1" applyBorder="1" applyAlignment="1">
      <alignment horizontal="center" vertical="center"/>
    </xf>
    <xf numFmtId="0" fontId="59" fillId="10" borderId="35" xfId="0" applyFont="1" applyFill="1" applyBorder="1" applyAlignment="1">
      <alignment horizontal="center" vertical="center"/>
    </xf>
    <xf numFmtId="0" fontId="59" fillId="10" borderId="53" xfId="0" applyFont="1" applyFill="1" applyBorder="1" applyAlignment="1">
      <alignment horizontal="center" vertical="center" wrapText="1"/>
    </xf>
    <xf numFmtId="0" fontId="59" fillId="10" borderId="6" xfId="0" applyFont="1" applyFill="1" applyBorder="1" applyAlignment="1">
      <alignment horizontal="center" vertical="center" wrapText="1"/>
    </xf>
    <xf numFmtId="0" fontId="62" fillId="10" borderId="19" xfId="0" applyFont="1" applyFill="1" applyBorder="1" applyAlignment="1">
      <alignment horizontal="center"/>
    </xf>
    <xf numFmtId="0" fontId="62" fillId="10" borderId="46" xfId="0" applyFont="1" applyFill="1" applyBorder="1" applyAlignment="1">
      <alignment horizontal="center"/>
    </xf>
    <xf numFmtId="0" fontId="62" fillId="0" borderId="24" xfId="0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/>
    </xf>
    <xf numFmtId="0" fontId="62" fillId="0" borderId="26" xfId="0" applyFont="1" applyFill="1" applyBorder="1" applyAlignment="1">
      <alignment horizontal="center" vertical="center"/>
    </xf>
    <xf numFmtId="0" fontId="62" fillId="0" borderId="5" xfId="0" applyFont="1" applyFill="1" applyBorder="1" applyAlignment="1">
      <alignment horizontal="center" vertical="center"/>
    </xf>
    <xf numFmtId="0" fontId="62" fillId="0" borderId="4" xfId="0" applyFont="1" applyFill="1" applyBorder="1" applyAlignment="1">
      <alignment horizontal="center" vertical="center"/>
    </xf>
    <xf numFmtId="177" fontId="62" fillId="0" borderId="5" xfId="1" applyNumberFormat="1" applyFont="1" applyFill="1" applyBorder="1" applyAlignment="1" applyProtection="1">
      <alignment horizontal="center" vertical="center"/>
    </xf>
    <xf numFmtId="177" fontId="62" fillId="0" borderId="41" xfId="1" applyNumberFormat="1" applyFont="1" applyFill="1" applyBorder="1" applyAlignment="1" applyProtection="1">
      <alignment horizontal="center" vertical="center"/>
    </xf>
    <xf numFmtId="0" fontId="62" fillId="0" borderId="3" xfId="1" applyNumberFormat="1" applyFont="1" applyFill="1" applyBorder="1" applyAlignment="1" applyProtection="1">
      <alignment horizontal="center" vertical="center" wrapText="1"/>
    </xf>
    <xf numFmtId="0" fontId="62" fillId="0" borderId="4" xfId="1" applyNumberFormat="1" applyFont="1" applyFill="1" applyBorder="1" applyAlignment="1" applyProtection="1">
      <alignment horizontal="center" vertical="center" wrapText="1"/>
    </xf>
    <xf numFmtId="164" fontId="62" fillId="0" borderId="3" xfId="1" applyFont="1" applyFill="1" applyBorder="1" applyAlignment="1" applyProtection="1">
      <alignment horizontal="center" vertical="center" wrapText="1"/>
    </xf>
    <xf numFmtId="164" fontId="62" fillId="0" borderId="41" xfId="1" applyFont="1" applyFill="1" applyBorder="1" applyAlignment="1" applyProtection="1">
      <alignment horizontal="center" vertical="center" wrapText="1"/>
    </xf>
    <xf numFmtId="0" fontId="59" fillId="10" borderId="24" xfId="0" applyFont="1" applyFill="1" applyBorder="1" applyAlignment="1">
      <alignment horizontal="center" vertical="center"/>
    </xf>
    <xf numFmtId="0" fontId="59" fillId="10" borderId="2" xfId="0" applyFont="1" applyFill="1" applyBorder="1" applyAlignment="1">
      <alignment horizontal="center" vertical="center"/>
    </xf>
    <xf numFmtId="164" fontId="62" fillId="0" borderId="4" xfId="1" applyFont="1" applyFill="1" applyBorder="1" applyAlignment="1" applyProtection="1">
      <alignment horizontal="center" vertical="center" wrapText="1"/>
    </xf>
    <xf numFmtId="0" fontId="59" fillId="10" borderId="3" xfId="1" applyNumberFormat="1" applyFont="1" applyFill="1" applyBorder="1" applyAlignment="1" applyProtection="1">
      <alignment horizontal="center" vertical="center" wrapText="1"/>
    </xf>
    <xf numFmtId="0" fontId="59" fillId="10" borderId="5" xfId="1" applyNumberFormat="1" applyFont="1" applyFill="1" applyBorder="1" applyAlignment="1" applyProtection="1">
      <alignment horizontal="center" vertical="center" wrapText="1"/>
    </xf>
    <xf numFmtId="0" fontId="59" fillId="10" borderId="26" xfId="0" applyFont="1" applyFill="1" applyBorder="1" applyAlignment="1">
      <alignment horizontal="center"/>
    </xf>
    <xf numFmtId="0" fontId="59" fillId="10" borderId="5" xfId="0" applyFont="1" applyFill="1" applyBorder="1" applyAlignment="1">
      <alignment horizontal="center"/>
    </xf>
    <xf numFmtId="0" fontId="59" fillId="10" borderId="41" xfId="0" applyFont="1" applyFill="1" applyBorder="1" applyAlignment="1">
      <alignment horizontal="center"/>
    </xf>
    <xf numFmtId="177" fontId="59" fillId="10" borderId="5" xfId="1" applyNumberFormat="1" applyFont="1" applyFill="1" applyBorder="1" applyAlignment="1" applyProtection="1">
      <alignment horizontal="center" vertical="center" wrapText="1"/>
    </xf>
    <xf numFmtId="177" fontId="59" fillId="10" borderId="41" xfId="1" applyNumberFormat="1" applyFont="1" applyFill="1" applyBorder="1" applyAlignment="1" applyProtection="1">
      <alignment horizontal="center" vertical="center" wrapText="1"/>
    </xf>
    <xf numFmtId="0" fontId="59" fillId="10" borderId="32" xfId="0" applyFont="1" applyFill="1" applyBorder="1" applyAlignment="1">
      <alignment horizontal="center" vertical="center"/>
    </xf>
    <xf numFmtId="0" fontId="59" fillId="10" borderId="29" xfId="0" applyFont="1" applyFill="1" applyBorder="1" applyAlignment="1">
      <alignment horizontal="center" vertical="center"/>
    </xf>
    <xf numFmtId="0" fontId="62" fillId="0" borderId="24" xfId="0" applyFont="1" applyFill="1" applyBorder="1" applyAlignment="1">
      <alignment horizontal="center" wrapText="1"/>
    </xf>
    <xf numFmtId="0" fontId="62" fillId="0" borderId="2" xfId="0" applyFont="1" applyFill="1" applyBorder="1" applyAlignment="1">
      <alignment horizontal="center" wrapText="1"/>
    </xf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left"/>
    </xf>
    <xf numFmtId="0" fontId="21" fillId="0" borderId="0" xfId="0" applyFont="1" applyAlignment="1">
      <alignment horizontal="left" wrapText="1"/>
    </xf>
    <xf numFmtId="0" fontId="8" fillId="0" borderId="2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3" fillId="0" borderId="26" xfId="0" applyFont="1" applyFill="1" applyBorder="1" applyAlignment="1">
      <alignment horizontal="right"/>
    </xf>
    <xf numFmtId="0" fontId="53" fillId="0" borderId="5" xfId="0" applyFont="1" applyFill="1" applyBorder="1" applyAlignment="1">
      <alignment horizontal="right"/>
    </xf>
    <xf numFmtId="0" fontId="12" fillId="0" borderId="2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43" fillId="0" borderId="20" xfId="0" quotePrefix="1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5" fillId="0" borderId="1" xfId="0" applyFont="1" applyBorder="1" applyAlignment="1">
      <alignment horizont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/>
    </xf>
    <xf numFmtId="0" fontId="8" fillId="0" borderId="26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right"/>
    </xf>
    <xf numFmtId="0" fontId="35" fillId="0" borderId="0" xfId="0" applyFont="1" applyBorder="1" applyAlignment="1">
      <alignment horizontal="center"/>
    </xf>
    <xf numFmtId="0" fontId="8" fillId="0" borderId="20" xfId="0" quotePrefix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left"/>
    </xf>
    <xf numFmtId="0" fontId="46" fillId="0" borderId="0" xfId="0" applyFont="1" applyAlignment="1">
      <alignment horizontal="left" wrapText="1"/>
    </xf>
    <xf numFmtId="0" fontId="40" fillId="0" borderId="2" xfId="0" applyFont="1" applyFill="1" applyBorder="1" applyAlignment="1">
      <alignment horizontal="left" vertical="center"/>
    </xf>
    <xf numFmtId="0" fontId="40" fillId="0" borderId="2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right"/>
    </xf>
    <xf numFmtId="0" fontId="46" fillId="0" borderId="0" xfId="0" applyFont="1" applyBorder="1" applyAlignment="1">
      <alignment horizontal="center"/>
    </xf>
    <xf numFmtId="0" fontId="40" fillId="0" borderId="2" xfId="0" applyFont="1" applyFill="1" applyBorder="1" applyAlignment="1">
      <alignment horizontal="center" vertical="center"/>
    </xf>
    <xf numFmtId="0" fontId="35" fillId="0" borderId="0" xfId="0" applyFont="1" applyAlignment="1">
      <alignment horizontal="left" wrapText="1"/>
    </xf>
    <xf numFmtId="0" fontId="8" fillId="0" borderId="20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46" fillId="0" borderId="2" xfId="0" applyFont="1" applyBorder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left"/>
    </xf>
    <xf numFmtId="0" fontId="24" fillId="0" borderId="5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4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6" fillId="0" borderId="6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164" fontId="24" fillId="0" borderId="2" xfId="1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left"/>
    </xf>
    <xf numFmtId="0" fontId="26" fillId="0" borderId="4" xfId="0" applyFont="1" applyFill="1" applyBorder="1" applyAlignment="1">
      <alignment horizontal="left"/>
    </xf>
  </cellXfs>
  <cellStyles count="4">
    <cellStyle name="Normal" xfId="0" builtinId="0"/>
    <cellStyle name="Porcentagem" xfId="2" builtinId="5"/>
    <cellStyle name="Vírgula" xfId="1" builtinId="3"/>
    <cellStyle name="Vírgula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5"/>
  <sheetViews>
    <sheetView zoomScale="140" zoomScaleNormal="140" workbookViewId="0">
      <selection activeCell="D32" sqref="D32"/>
    </sheetView>
  </sheetViews>
  <sheetFormatPr defaultColWidth="8.7109375" defaultRowHeight="15" x14ac:dyDescent="0.25"/>
  <cols>
    <col min="1" max="1" width="25.85546875" customWidth="1"/>
    <col min="2" max="2" width="8.140625" customWidth="1"/>
    <col min="3" max="3" width="11" style="1" customWidth="1"/>
    <col min="4" max="4" width="11.140625" style="1" customWidth="1"/>
    <col min="5" max="5" width="11.28515625" style="1" customWidth="1"/>
    <col min="6" max="6" width="13.28515625" style="1" hidden="1" customWidth="1"/>
    <col min="7" max="7" width="12" style="1" customWidth="1"/>
    <col min="8" max="12" width="9.140625" style="1" customWidth="1"/>
  </cols>
  <sheetData>
    <row r="1" spans="1:12" x14ac:dyDescent="0.25">
      <c r="A1" s="688" t="s">
        <v>0</v>
      </c>
      <c r="B1" s="688"/>
      <c r="C1" s="688"/>
      <c r="D1" s="688"/>
      <c r="E1" s="688"/>
      <c r="F1" s="688"/>
      <c r="G1" s="688"/>
    </row>
    <row r="2" spans="1:12" s="4" customFormat="1" ht="21.75" customHeight="1" x14ac:dyDescent="0.25">
      <c r="A2" s="689" t="s">
        <v>1</v>
      </c>
      <c r="B2" s="689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/>
      <c r="I2" s="3"/>
      <c r="J2" s="3"/>
      <c r="K2" s="3"/>
      <c r="L2" s="3"/>
    </row>
    <row r="3" spans="1:12" ht="12" customHeight="1" x14ac:dyDescent="0.25">
      <c r="A3" s="690" t="s">
        <v>7</v>
      </c>
      <c r="B3" s="690"/>
      <c r="C3" s="6">
        <v>29500</v>
      </c>
      <c r="D3" s="7">
        <v>40</v>
      </c>
      <c r="E3" s="6">
        <f>C3*D3</f>
        <v>1180000</v>
      </c>
      <c r="F3" s="8">
        <v>12</v>
      </c>
      <c r="G3" s="6">
        <f>E3*F3</f>
        <v>14160000</v>
      </c>
    </row>
    <row r="4" spans="1:12" ht="12" customHeight="1" x14ac:dyDescent="0.25">
      <c r="A4" s="690"/>
      <c r="B4" s="690"/>
      <c r="C4" s="6"/>
      <c r="D4" s="6"/>
      <c r="E4" s="6"/>
      <c r="F4" s="6"/>
      <c r="G4" s="6"/>
    </row>
    <row r="5" spans="1:12" ht="12" customHeight="1" x14ac:dyDescent="0.25">
      <c r="A5" s="690" t="s">
        <v>8</v>
      </c>
      <c r="B5" s="690"/>
      <c r="C5" s="6"/>
      <c r="D5" s="6"/>
      <c r="E5" s="6">
        <f>SUM(E3:E4)</f>
        <v>1180000</v>
      </c>
      <c r="F5" s="6"/>
      <c r="G5" s="6">
        <f>SUM(G3:G4)</f>
        <v>14160000</v>
      </c>
    </row>
    <row r="6" spans="1:12" ht="12" customHeight="1" x14ac:dyDescent="0.25">
      <c r="A6" s="9"/>
      <c r="B6" s="9"/>
      <c r="C6" s="10"/>
      <c r="D6" s="10"/>
      <c r="E6" s="10"/>
      <c r="F6" s="10"/>
      <c r="G6" s="10"/>
    </row>
    <row r="7" spans="1:12" ht="12" customHeight="1" x14ac:dyDescent="0.25">
      <c r="A7" s="11"/>
      <c r="B7" s="11" t="s">
        <v>9</v>
      </c>
      <c r="C7" s="6" t="s">
        <v>10</v>
      </c>
      <c r="D7" s="12" t="s">
        <v>11</v>
      </c>
      <c r="E7" s="10"/>
      <c r="F7" s="10"/>
      <c r="G7" s="10"/>
    </row>
    <row r="8" spans="1:12" ht="12" customHeight="1" x14ac:dyDescent="0.25">
      <c r="A8" s="11" t="s">
        <v>12</v>
      </c>
      <c r="B8" s="11"/>
      <c r="C8" s="13" t="s">
        <v>13</v>
      </c>
      <c r="D8" s="13" t="s">
        <v>13</v>
      </c>
      <c r="E8" s="10"/>
      <c r="F8" s="10"/>
      <c r="G8" s="10"/>
    </row>
    <row r="9" spans="1:12" ht="12" customHeight="1" x14ac:dyDescent="0.25">
      <c r="A9" s="11" t="s">
        <v>14</v>
      </c>
      <c r="B9" s="14">
        <v>0.05</v>
      </c>
      <c r="C9" s="6">
        <f>B9*E5</f>
        <v>59000</v>
      </c>
      <c r="D9" s="6">
        <f>B9*E5</f>
        <v>59000</v>
      </c>
      <c r="E9" s="10"/>
      <c r="F9" s="10"/>
      <c r="G9" s="10"/>
    </row>
    <row r="10" spans="1:12" ht="12" customHeight="1" x14ac:dyDescent="0.25">
      <c r="A10" s="11" t="s">
        <v>15</v>
      </c>
      <c r="B10" s="5">
        <v>0</v>
      </c>
      <c r="C10" s="6">
        <v>2000</v>
      </c>
      <c r="D10" s="6">
        <v>2000</v>
      </c>
      <c r="E10" s="10"/>
      <c r="F10" s="10"/>
      <c r="G10" s="10"/>
    </row>
    <row r="11" spans="1:12" ht="12" customHeight="1" x14ac:dyDescent="0.25">
      <c r="A11" s="11" t="s">
        <v>16</v>
      </c>
      <c r="B11" s="14">
        <v>0.08</v>
      </c>
      <c r="C11" s="6">
        <f>8%*E5</f>
        <v>94400</v>
      </c>
      <c r="D11" s="6">
        <f>(E5+D9)*B11</f>
        <v>99120</v>
      </c>
      <c r="E11" s="10"/>
      <c r="F11" s="10"/>
      <c r="G11" s="10"/>
    </row>
    <row r="12" spans="1:12" ht="12" customHeight="1" x14ac:dyDescent="0.25">
      <c r="A12" s="11" t="s">
        <v>17</v>
      </c>
      <c r="B12" s="5"/>
      <c r="C12" s="6">
        <f>SUM(C9:C11)</f>
        <v>155400</v>
      </c>
      <c r="D12" s="6">
        <f>SUM(D9:D11)</f>
        <v>160120</v>
      </c>
      <c r="E12" s="10"/>
      <c r="F12" s="10"/>
      <c r="G12" s="10"/>
    </row>
    <row r="13" spans="1:12" ht="12" customHeight="1" x14ac:dyDescent="0.25">
      <c r="A13" s="11"/>
      <c r="B13" s="5"/>
      <c r="C13" s="6"/>
      <c r="D13" s="6"/>
      <c r="E13" s="10"/>
      <c r="F13" s="10"/>
      <c r="G13" s="10"/>
    </row>
    <row r="14" spans="1:12" ht="12" customHeight="1" x14ac:dyDescent="0.25">
      <c r="A14" s="11" t="s">
        <v>18</v>
      </c>
      <c r="B14" s="5"/>
      <c r="C14" s="12" t="s">
        <v>13</v>
      </c>
      <c r="D14" s="6"/>
      <c r="E14" s="10"/>
      <c r="F14" s="10"/>
      <c r="G14" s="10"/>
    </row>
    <row r="15" spans="1:12" ht="12" customHeight="1" x14ac:dyDescent="0.25">
      <c r="A15" s="11" t="s">
        <v>19</v>
      </c>
      <c r="B15" s="15">
        <v>6.4999999999999997E-3</v>
      </c>
      <c r="C15" s="6">
        <f>B15*E5</f>
        <v>7670</v>
      </c>
      <c r="D15" s="6">
        <f>B15*C21</f>
        <v>9535.6102900930491</v>
      </c>
      <c r="E15" s="10"/>
      <c r="F15" s="10"/>
      <c r="G15" s="10"/>
    </row>
    <row r="16" spans="1:12" ht="12" customHeight="1" x14ac:dyDescent="0.25">
      <c r="A16" s="11" t="s">
        <v>20</v>
      </c>
      <c r="B16" s="14">
        <v>0.03</v>
      </c>
      <c r="C16" s="6">
        <f>B16*E5</f>
        <v>35400</v>
      </c>
      <c r="D16" s="6">
        <f>B16*C21</f>
        <v>44010.509031198686</v>
      </c>
      <c r="E16" s="10"/>
      <c r="F16" s="10"/>
      <c r="G16" s="10"/>
    </row>
    <row r="17" spans="1:12" ht="12" customHeight="1" x14ac:dyDescent="0.25">
      <c r="A17" s="11" t="s">
        <v>21</v>
      </c>
      <c r="B17" s="14">
        <v>0.05</v>
      </c>
      <c r="C17" s="6">
        <f>B17*E5</f>
        <v>59000</v>
      </c>
      <c r="D17" s="6">
        <f>B17*C21</f>
        <v>73350.848385331148</v>
      </c>
      <c r="E17" s="10"/>
      <c r="F17" s="10"/>
      <c r="G17" s="10"/>
    </row>
    <row r="18" spans="1:12" ht="12" customHeight="1" x14ac:dyDescent="0.25">
      <c r="A18" s="11"/>
      <c r="B18" s="15">
        <f>SUM(B15:B17)</f>
        <v>8.6499999999999994E-2</v>
      </c>
      <c r="C18" s="6">
        <f>SUM(C15:C17)</f>
        <v>102070</v>
      </c>
      <c r="D18" s="6">
        <f>SUM(D15:D17)</f>
        <v>126896.96770662288</v>
      </c>
      <c r="E18" s="10"/>
      <c r="F18" s="10"/>
      <c r="G18" s="10"/>
    </row>
    <row r="19" spans="1:12" ht="12" customHeight="1" x14ac:dyDescent="0.25">
      <c r="A19" s="16"/>
      <c r="B19" s="16"/>
      <c r="C19" s="10"/>
      <c r="D19" s="10"/>
      <c r="E19" s="10"/>
      <c r="F19" s="10"/>
      <c r="G19" s="10"/>
    </row>
    <row r="20" spans="1:12" ht="12" customHeight="1" x14ac:dyDescent="0.25">
      <c r="A20" s="686" t="s">
        <v>22</v>
      </c>
      <c r="B20" s="686"/>
      <c r="C20" s="17">
        <f>E5+D12</f>
        <v>1340120</v>
      </c>
      <c r="D20" s="10"/>
      <c r="E20" s="10"/>
      <c r="F20" s="10"/>
      <c r="G20" s="10"/>
    </row>
    <row r="21" spans="1:12" ht="12" customHeight="1" x14ac:dyDescent="0.25">
      <c r="A21" s="686" t="s">
        <v>23</v>
      </c>
      <c r="B21" s="686"/>
      <c r="C21" s="18">
        <f>C20/(1-B18)</f>
        <v>1467016.967706623</v>
      </c>
      <c r="D21" s="10"/>
      <c r="E21" s="10"/>
      <c r="F21" s="10"/>
      <c r="G21" s="10"/>
    </row>
    <row r="22" spans="1:12" s="22" customFormat="1" ht="12" customHeight="1" x14ac:dyDescent="0.25">
      <c r="A22" s="687" t="s">
        <v>24</v>
      </c>
      <c r="B22" s="687"/>
      <c r="C22" s="12" t="s">
        <v>10</v>
      </c>
      <c r="D22" s="12" t="s">
        <v>11</v>
      </c>
      <c r="E22" s="12" t="s">
        <v>25</v>
      </c>
      <c r="F22" s="20"/>
      <c r="G22" s="20"/>
      <c r="H22" s="21"/>
      <c r="I22" s="21"/>
      <c r="J22" s="21"/>
      <c r="K22" s="21"/>
      <c r="L22" s="21"/>
    </row>
    <row r="23" spans="1:12" ht="12" customHeight="1" x14ac:dyDescent="0.25">
      <c r="A23" s="687" t="s">
        <v>26</v>
      </c>
      <c r="B23" s="687"/>
      <c r="C23" s="6">
        <f>E5+C12+C18</f>
        <v>1437470</v>
      </c>
      <c r="D23" s="6">
        <f>E5+D12+D18</f>
        <v>1467016.9677066228</v>
      </c>
      <c r="E23" s="6">
        <f>D23-C23</f>
        <v>29546.967706622789</v>
      </c>
      <c r="F23" s="10"/>
      <c r="G23" s="10"/>
    </row>
    <row r="24" spans="1:12" ht="12" customHeight="1" x14ac:dyDescent="0.25">
      <c r="A24" s="19" t="s">
        <v>27</v>
      </c>
      <c r="B24" s="19"/>
      <c r="C24" s="6">
        <f>C23*6</f>
        <v>8624820</v>
      </c>
      <c r="D24" s="6">
        <f>D23*6</f>
        <v>8802101.8062397372</v>
      </c>
      <c r="E24" s="6">
        <f>D24-C24</f>
        <v>177281.8062397372</v>
      </c>
      <c r="F24" s="10"/>
      <c r="G24" s="10"/>
    </row>
    <row r="25" spans="1:12" ht="12" customHeight="1" x14ac:dyDescent="0.25"/>
  </sheetData>
  <mergeCells count="9">
    <mergeCell ref="A20:B20"/>
    <mergeCell ref="A21:B21"/>
    <mergeCell ref="A22:B22"/>
    <mergeCell ref="A23:B23"/>
    <mergeCell ref="A1:G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AMJ62"/>
  <sheetViews>
    <sheetView zoomScale="140" zoomScaleNormal="140" workbookViewId="0">
      <selection sqref="A1:G1"/>
    </sheetView>
  </sheetViews>
  <sheetFormatPr defaultColWidth="9.140625" defaultRowHeight="15" x14ac:dyDescent="0.25"/>
  <cols>
    <col min="1" max="1" width="21" style="23" customWidth="1"/>
    <col min="2" max="2" width="15.5703125" style="23" customWidth="1"/>
    <col min="3" max="3" width="5.140625" style="24" hidden="1" customWidth="1"/>
    <col min="4" max="4" width="13.140625" style="25" customWidth="1"/>
    <col min="5" max="5" width="14.285156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78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7" t="s">
        <v>79</v>
      </c>
      <c r="B9" s="697"/>
      <c r="C9" s="35"/>
      <c r="D9" s="36">
        <v>361</v>
      </c>
      <c r="E9" s="37">
        <v>133.41</v>
      </c>
      <c r="F9" s="37">
        <f>D9*E9-1.01</f>
        <v>48160</v>
      </c>
      <c r="G9" s="36">
        <v>5</v>
      </c>
      <c r="H9" s="32"/>
      <c r="I9" s="32"/>
      <c r="J9" s="32"/>
      <c r="K9" s="32"/>
    </row>
    <row r="10" spans="1:11" s="33" customFormat="1" ht="11.1" customHeight="1" x14ac:dyDescent="0.25">
      <c r="A10" s="697" t="s">
        <v>80</v>
      </c>
      <c r="B10" s="697"/>
      <c r="C10" s="35"/>
      <c r="D10" s="36">
        <v>722</v>
      </c>
      <c r="E10" s="37">
        <v>110.78</v>
      </c>
      <c r="F10" s="37">
        <f>D10*E10-3.16</f>
        <v>79980</v>
      </c>
      <c r="G10" s="36">
        <v>14</v>
      </c>
      <c r="H10" s="32">
        <f>F10-79980</f>
        <v>0</v>
      </c>
      <c r="I10" s="32"/>
      <c r="J10" s="32"/>
      <c r="K10" s="32"/>
    </row>
    <row r="11" spans="1:11" s="33" customFormat="1" ht="11.1" customHeight="1" x14ac:dyDescent="0.25">
      <c r="A11" s="697" t="s">
        <v>81</v>
      </c>
      <c r="B11" s="697"/>
      <c r="C11" s="35"/>
      <c r="D11" s="36">
        <v>361</v>
      </c>
      <c r="E11" s="37">
        <v>100.06</v>
      </c>
      <c r="F11" s="37">
        <f>D11*E11-1.66</f>
        <v>36120</v>
      </c>
      <c r="G11" s="36">
        <v>3</v>
      </c>
      <c r="H11" s="32"/>
      <c r="I11" s="32"/>
      <c r="J11" s="32"/>
      <c r="K11" s="32"/>
    </row>
    <row r="12" spans="1:11" s="33" customFormat="1" ht="11.1" customHeight="1" x14ac:dyDescent="0.25">
      <c r="A12" s="697" t="s">
        <v>82</v>
      </c>
      <c r="B12" s="697"/>
      <c r="C12" s="35"/>
      <c r="D12" s="36">
        <v>129</v>
      </c>
      <c r="E12" s="37">
        <v>116.67</v>
      </c>
      <c r="F12" s="37">
        <f>D12*E12-0.43</f>
        <v>15050</v>
      </c>
      <c r="G12" s="36">
        <v>7</v>
      </c>
      <c r="H12" s="32"/>
      <c r="I12" s="32"/>
      <c r="J12" s="32"/>
      <c r="K12" s="32"/>
    </row>
    <row r="13" spans="1:11" s="33" customFormat="1" ht="11.1" customHeight="1" x14ac:dyDescent="0.25">
      <c r="A13" s="697" t="s">
        <v>82</v>
      </c>
      <c r="B13" s="697"/>
      <c r="C13" s="35"/>
      <c r="D13" s="36">
        <v>129</v>
      </c>
      <c r="E13" s="37">
        <v>162.79</v>
      </c>
      <c r="F13" s="37">
        <f>D13*E13+0.09</f>
        <v>21000</v>
      </c>
      <c r="G13" s="36">
        <v>14</v>
      </c>
      <c r="H13" s="32"/>
      <c r="I13" s="32"/>
      <c r="J13" s="32"/>
      <c r="K13" s="32"/>
    </row>
    <row r="14" spans="1:11" s="33" customFormat="1" ht="11.1" customHeight="1" x14ac:dyDescent="0.25">
      <c r="A14" s="697" t="s">
        <v>83</v>
      </c>
      <c r="B14" s="697"/>
      <c r="C14" s="35"/>
      <c r="D14" s="36">
        <v>722</v>
      </c>
      <c r="E14" s="37">
        <v>133.41</v>
      </c>
      <c r="F14" s="37">
        <f>D14*E14-2.02</f>
        <v>96320</v>
      </c>
      <c r="G14" s="36">
        <v>5</v>
      </c>
      <c r="H14" s="32"/>
      <c r="I14" s="32"/>
      <c r="J14" s="32"/>
      <c r="K14" s="32"/>
    </row>
    <row r="15" spans="1:11" s="33" customFormat="1" ht="11.1" customHeight="1" x14ac:dyDescent="0.25">
      <c r="A15" s="697" t="s">
        <v>84</v>
      </c>
      <c r="B15" s="697"/>
      <c r="C15" s="35"/>
      <c r="D15" s="36">
        <v>1445</v>
      </c>
      <c r="E15" s="37">
        <v>110.7</v>
      </c>
      <c r="F15" s="37">
        <f>D15*E15-1.5</f>
        <v>159960</v>
      </c>
      <c r="G15" s="36">
        <v>28</v>
      </c>
      <c r="H15" s="32"/>
      <c r="I15" s="32"/>
      <c r="J15" s="32"/>
      <c r="K15" s="32"/>
    </row>
    <row r="16" spans="1:11" s="33" customFormat="1" ht="11.1" customHeight="1" x14ac:dyDescent="0.25">
      <c r="A16" s="697" t="s">
        <v>85</v>
      </c>
      <c r="B16" s="697"/>
      <c r="C16" s="35"/>
      <c r="D16" s="36">
        <v>129</v>
      </c>
      <c r="E16" s="37">
        <v>162.79</v>
      </c>
      <c r="F16" s="37">
        <f>D16*E16+0.09</f>
        <v>21000</v>
      </c>
      <c r="G16" s="36">
        <v>3</v>
      </c>
      <c r="H16" s="32"/>
      <c r="I16" s="32"/>
      <c r="J16" s="32"/>
      <c r="K16" s="32"/>
    </row>
    <row r="17" spans="1:11" s="33" customFormat="1" ht="14.1" hidden="1" customHeight="1" x14ac:dyDescent="0.25">
      <c r="A17" s="696" t="s">
        <v>72</v>
      </c>
      <c r="B17" s="696"/>
      <c r="C17" s="38"/>
      <c r="D17" s="30">
        <f>SUM(D9:D16)</f>
        <v>3998</v>
      </c>
      <c r="E17" s="29"/>
      <c r="F17" s="29">
        <f>SUM(F9:F16)</f>
        <v>477590</v>
      </c>
      <c r="G17" s="36">
        <f>SUM(G9:G16)</f>
        <v>79</v>
      </c>
      <c r="H17" s="32"/>
      <c r="I17" s="32"/>
      <c r="J17" s="32"/>
      <c r="K17" s="32"/>
    </row>
    <row r="18" spans="1:11" s="33" customFormat="1" ht="14.1" hidden="1" customHeight="1" x14ac:dyDescent="0.25">
      <c r="A18" s="43" t="s">
        <v>73</v>
      </c>
      <c r="B18" s="42"/>
      <c r="C18" s="35"/>
      <c r="D18" s="30"/>
      <c r="E18" s="29"/>
      <c r="F18" s="29"/>
      <c r="G18" s="36"/>
      <c r="H18" s="32"/>
      <c r="I18" s="32"/>
      <c r="J18" s="32"/>
      <c r="K18" s="32"/>
    </row>
    <row r="19" spans="1:11" s="33" customFormat="1" ht="14.1" hidden="1" customHeight="1" x14ac:dyDescent="0.25">
      <c r="A19" s="697" t="s">
        <v>39</v>
      </c>
      <c r="B19" s="697"/>
      <c r="C19" s="35"/>
      <c r="D19" s="36">
        <v>722</v>
      </c>
      <c r="E19" s="37">
        <v>0</v>
      </c>
      <c r="F19" s="37">
        <f t="shared" ref="F19:F24" si="0">D19*E19</f>
        <v>0</v>
      </c>
      <c r="G19" s="36">
        <v>8</v>
      </c>
      <c r="H19" s="32"/>
      <c r="I19" s="32"/>
      <c r="J19" s="32"/>
      <c r="K19" s="32"/>
    </row>
    <row r="20" spans="1:11" s="33" customFormat="1" ht="14.1" hidden="1" customHeight="1" x14ac:dyDescent="0.25">
      <c r="A20" s="697" t="s">
        <v>40</v>
      </c>
      <c r="B20" s="697"/>
      <c r="C20" s="35"/>
      <c r="D20" s="36">
        <v>1445</v>
      </c>
      <c r="E20" s="37">
        <v>0</v>
      </c>
      <c r="F20" s="37">
        <f t="shared" si="0"/>
        <v>0</v>
      </c>
      <c r="G20" s="36">
        <v>8</v>
      </c>
      <c r="H20" s="32"/>
      <c r="I20" s="32"/>
      <c r="J20" s="32"/>
      <c r="K20" s="32"/>
    </row>
    <row r="21" spans="1:11" s="33" customFormat="1" ht="14.1" hidden="1" customHeight="1" x14ac:dyDescent="0.25">
      <c r="A21" s="697" t="s">
        <v>41</v>
      </c>
      <c r="B21" s="697"/>
      <c r="C21" s="35"/>
      <c r="D21" s="36">
        <v>129</v>
      </c>
      <c r="E21" s="37">
        <v>0</v>
      </c>
      <c r="F21" s="37">
        <f t="shared" si="0"/>
        <v>0</v>
      </c>
      <c r="G21" s="36">
        <v>8</v>
      </c>
      <c r="H21" s="32"/>
      <c r="I21" s="32"/>
      <c r="J21" s="32"/>
      <c r="K21" s="32"/>
    </row>
    <row r="22" spans="1:11" s="33" customFormat="1" ht="14.1" hidden="1" customHeight="1" x14ac:dyDescent="0.25">
      <c r="A22" s="697" t="s">
        <v>45</v>
      </c>
      <c r="B22" s="697"/>
      <c r="C22" s="35"/>
      <c r="D22" s="36"/>
      <c r="E22" s="37"/>
      <c r="F22" s="37">
        <f t="shared" si="0"/>
        <v>0</v>
      </c>
      <c r="G22" s="36"/>
      <c r="H22" s="32"/>
      <c r="I22" s="32"/>
      <c r="J22" s="32"/>
      <c r="K22" s="32"/>
    </row>
    <row r="23" spans="1:11" s="33" customFormat="1" ht="14.1" hidden="1" customHeight="1" x14ac:dyDescent="0.25">
      <c r="A23" s="697" t="s">
        <v>46</v>
      </c>
      <c r="B23" s="697"/>
      <c r="C23" s="35"/>
      <c r="D23" s="36"/>
      <c r="E23" s="37"/>
      <c r="F23" s="37">
        <f t="shared" si="0"/>
        <v>0</v>
      </c>
      <c r="G23" s="36"/>
      <c r="H23" s="32"/>
      <c r="I23" s="32"/>
      <c r="J23" s="32"/>
      <c r="K23" s="32"/>
    </row>
    <row r="24" spans="1:11" s="33" customFormat="1" ht="14.1" hidden="1" customHeight="1" x14ac:dyDescent="0.25">
      <c r="A24" s="697" t="s">
        <v>47</v>
      </c>
      <c r="B24" s="697"/>
      <c r="C24" s="35"/>
      <c r="D24" s="36"/>
      <c r="E24" s="37"/>
      <c r="F24" s="37">
        <f t="shared" si="0"/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696" t="s">
        <v>74</v>
      </c>
      <c r="B25" s="696"/>
      <c r="C25" s="30">
        <f>SUM(C19:C24)</f>
        <v>0</v>
      </c>
      <c r="D25" s="30">
        <f>SUM(D19:D24)</f>
        <v>2296</v>
      </c>
      <c r="E25" s="29">
        <v>0</v>
      </c>
      <c r="F25" s="29">
        <f>SUM(F19:F24)</f>
        <v>0</v>
      </c>
      <c r="G25" s="36">
        <f>SUM(G19:G24)</f>
        <v>24</v>
      </c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49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44" t="s">
        <v>50</v>
      </c>
      <c r="B28" s="42"/>
      <c r="C28" s="35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s="33" customFormat="1" ht="14.1" hidden="1" customHeight="1" x14ac:dyDescent="0.25">
      <c r="A30" s="34" t="s">
        <v>51</v>
      </c>
      <c r="B30" s="42"/>
      <c r="C30" s="35"/>
      <c r="D30" s="36"/>
      <c r="E30" s="37"/>
      <c r="F30" s="37">
        <f>D30*E30</f>
        <v>0</v>
      </c>
      <c r="G30" s="36"/>
      <c r="H30" s="32"/>
      <c r="I30" s="32"/>
      <c r="J30" s="32"/>
      <c r="K30" s="32"/>
    </row>
    <row r="31" spans="1:11" s="33" customFormat="1" ht="14.1" hidden="1" customHeight="1" x14ac:dyDescent="0.25">
      <c r="A31" s="696" t="s">
        <v>52</v>
      </c>
      <c r="B31" s="696"/>
      <c r="C31" s="38"/>
      <c r="D31" s="30">
        <f>SUM(D30)</f>
        <v>0</v>
      </c>
      <c r="E31" s="29"/>
      <c r="F31" s="29">
        <f>SUM(F30)</f>
        <v>0</v>
      </c>
      <c r="G31" s="36"/>
      <c r="H31" s="32"/>
      <c r="I31" s="32"/>
      <c r="J31" s="32"/>
      <c r="K31" s="32"/>
    </row>
    <row r="32" spans="1:11" s="33" customFormat="1" ht="14.1" hidden="1" customHeight="1" x14ac:dyDescent="0.25">
      <c r="A32" s="34"/>
      <c r="B32" s="42"/>
      <c r="C32" s="35"/>
      <c r="D32" s="30"/>
      <c r="E32" s="29"/>
      <c r="F32" s="29"/>
      <c r="G32" s="36"/>
      <c r="H32" s="32"/>
      <c r="I32" s="32"/>
      <c r="J32" s="32"/>
      <c r="K32" s="32"/>
    </row>
    <row r="33" spans="1:11" ht="14.1" hidden="1" customHeight="1" x14ac:dyDescent="0.25">
      <c r="A33" s="693" t="s">
        <v>7</v>
      </c>
      <c r="B33" s="693"/>
      <c r="C33" s="46"/>
      <c r="D33" s="30">
        <f>D7+D17+D25+D28+D31</f>
        <v>6294</v>
      </c>
      <c r="E33" s="47"/>
      <c r="F33" s="29">
        <f>F7+F17+F25+F28+F31</f>
        <v>477590</v>
      </c>
      <c r="G33" s="36">
        <f>G25+G17</f>
        <v>103</v>
      </c>
    </row>
    <row r="34" spans="1:11" ht="14.1" hidden="1" customHeight="1" x14ac:dyDescent="0.25">
      <c r="A34" s="692"/>
      <c r="B34" s="692"/>
      <c r="C34" s="49"/>
      <c r="D34" s="50"/>
      <c r="E34" s="51"/>
      <c r="F34" s="51"/>
      <c r="G34" s="36"/>
    </row>
    <row r="35" spans="1:11" ht="14.1" customHeight="1" x14ac:dyDescent="0.25">
      <c r="A35" s="693" t="s">
        <v>8</v>
      </c>
      <c r="B35" s="693"/>
      <c r="C35" s="46"/>
      <c r="D35" s="30">
        <f>D17</f>
        <v>3998</v>
      </c>
      <c r="E35" s="51"/>
      <c r="F35" s="52">
        <f>SUM(F33:F34)</f>
        <v>477590</v>
      </c>
    </row>
    <row r="36" spans="1:11" ht="14.1" hidden="1" customHeight="1" x14ac:dyDescent="0.25">
      <c r="A36" s="53"/>
      <c r="B36" s="53"/>
      <c r="C36" s="54"/>
      <c r="D36" s="55"/>
      <c r="E36" s="56"/>
      <c r="F36" s="56"/>
    </row>
    <row r="37" spans="1:11" s="22" customFormat="1" ht="14.1" customHeight="1" x14ac:dyDescent="0.25">
      <c r="A37" s="45"/>
      <c r="B37" s="45" t="s">
        <v>9</v>
      </c>
      <c r="C37" s="45"/>
      <c r="D37" s="85" t="s">
        <v>10</v>
      </c>
      <c r="E37" s="84" t="s">
        <v>11</v>
      </c>
      <c r="F37" s="86"/>
      <c r="G37" s="21"/>
      <c r="H37" s="21"/>
      <c r="I37" s="21"/>
      <c r="J37" s="21"/>
      <c r="K37" s="21"/>
    </row>
    <row r="38" spans="1:11" ht="11.1" customHeight="1" x14ac:dyDescent="0.25">
      <c r="A38" s="59" t="s">
        <v>12</v>
      </c>
      <c r="B38" s="57"/>
      <c r="C38" s="48"/>
      <c r="D38" s="60" t="s">
        <v>13</v>
      </c>
      <c r="E38" s="58" t="s">
        <v>13</v>
      </c>
      <c r="F38" s="56"/>
    </row>
    <row r="39" spans="1:11" ht="11.1" customHeight="1" x14ac:dyDescent="0.25">
      <c r="A39" s="59" t="s">
        <v>54</v>
      </c>
      <c r="B39" s="61">
        <v>0.03</v>
      </c>
      <c r="C39" s="61"/>
      <c r="D39" s="51">
        <f>B39*F35</f>
        <v>14327.699999999999</v>
      </c>
      <c r="E39" s="51">
        <f>B39*F35</f>
        <v>14327.699999999999</v>
      </c>
      <c r="F39" s="62"/>
      <c r="H39" s="1">
        <f>F35+D39</f>
        <v>491917.7</v>
      </c>
    </row>
    <row r="40" spans="1:11" ht="11.1" customHeight="1" x14ac:dyDescent="0.25">
      <c r="A40" s="59" t="s">
        <v>15</v>
      </c>
      <c r="B40" s="48"/>
      <c r="C40" s="48"/>
      <c r="D40" s="51">
        <v>0</v>
      </c>
      <c r="E40" s="51">
        <f>D40</f>
        <v>0</v>
      </c>
      <c r="F40" s="56"/>
    </row>
    <row r="41" spans="1:11" ht="11.1" customHeight="1" x14ac:dyDescent="0.25">
      <c r="A41" s="59" t="s">
        <v>55</v>
      </c>
      <c r="B41" s="61">
        <v>0.1153377</v>
      </c>
      <c r="C41" s="61"/>
      <c r="D41" s="51">
        <v>56736.639999999999</v>
      </c>
      <c r="E41" s="51">
        <f>(F35+E39+E40)*B41</f>
        <v>56736.65610729</v>
      </c>
      <c r="F41" s="63"/>
    </row>
    <row r="42" spans="1:11" ht="11.1" customHeight="1" x14ac:dyDescent="0.25">
      <c r="A42" s="59" t="s">
        <v>17</v>
      </c>
      <c r="B42" s="48"/>
      <c r="C42" s="48"/>
      <c r="D42" s="52">
        <f>SUM(D39:D41)</f>
        <v>71064.34</v>
      </c>
      <c r="E42" s="52">
        <f>SUM(E39:E41)</f>
        <v>71064.356107290005</v>
      </c>
      <c r="F42" s="56"/>
    </row>
    <row r="43" spans="1:11" ht="11.1" customHeight="1" x14ac:dyDescent="0.25">
      <c r="A43" s="59"/>
      <c r="B43" s="48"/>
      <c r="C43" s="48"/>
      <c r="D43" s="51"/>
      <c r="E43" s="51"/>
      <c r="F43" s="56"/>
    </row>
    <row r="44" spans="1:11" ht="11.1" customHeight="1" x14ac:dyDescent="0.25">
      <c r="A44" s="59" t="s">
        <v>18</v>
      </c>
      <c r="B44" s="48"/>
      <c r="C44" s="48"/>
      <c r="D44" s="58" t="s">
        <v>13</v>
      </c>
      <c r="E44" s="58" t="s">
        <v>13</v>
      </c>
      <c r="F44" s="56"/>
      <c r="G44" s="1" t="s">
        <v>75</v>
      </c>
    </row>
    <row r="45" spans="1:11" ht="11.1" customHeight="1" x14ac:dyDescent="0.25">
      <c r="A45" s="59" t="s">
        <v>19</v>
      </c>
      <c r="B45" s="64">
        <v>6.4999999999999997E-3</v>
      </c>
      <c r="C45" s="64"/>
      <c r="D45" s="51">
        <f>B45*D53</f>
        <v>3903.9445152680732</v>
      </c>
      <c r="E45" s="51">
        <f>B45*D53</f>
        <v>3903.9445152680732</v>
      </c>
      <c r="F45" s="56"/>
      <c r="H45" s="1">
        <v>14217.85</v>
      </c>
    </row>
    <row r="46" spans="1:11" ht="11.1" customHeight="1" x14ac:dyDescent="0.25">
      <c r="A46" s="59" t="s">
        <v>20</v>
      </c>
      <c r="B46" s="65">
        <v>0.03</v>
      </c>
      <c r="C46" s="65"/>
      <c r="D46" s="51">
        <f>B46*D53</f>
        <v>18018.205455083415</v>
      </c>
      <c r="E46" s="51">
        <f>B46*D53</f>
        <v>18018.205455083415</v>
      </c>
      <c r="F46" s="56"/>
      <c r="H46" s="1">
        <f>H45/B45</f>
        <v>2187361.5384615385</v>
      </c>
    </row>
    <row r="47" spans="1:11" ht="11.1" customHeight="1" x14ac:dyDescent="0.25">
      <c r="A47" s="59" t="s">
        <v>21</v>
      </c>
      <c r="B47" s="65">
        <v>0.05</v>
      </c>
      <c r="C47" s="65"/>
      <c r="D47" s="51">
        <f>B47*D53</f>
        <v>30030.342425139028</v>
      </c>
      <c r="E47" s="51">
        <f>B47*D53</f>
        <v>30030.342425139028</v>
      </c>
      <c r="F47" s="56"/>
    </row>
    <row r="48" spans="1:11" ht="11.1" customHeight="1" x14ac:dyDescent="0.25">
      <c r="A48" s="59" t="s">
        <v>17</v>
      </c>
      <c r="B48" s="64">
        <f>SUM(B45:B47)</f>
        <v>8.6499999999999994E-2</v>
      </c>
      <c r="C48" s="64"/>
      <c r="D48" s="52">
        <f>SUM(D45:D47)</f>
        <v>51952.492395490517</v>
      </c>
      <c r="E48" s="52">
        <f>SUM(E45:E47)</f>
        <v>51952.492395490517</v>
      </c>
      <c r="F48" s="56"/>
      <c r="H48" s="1">
        <f>H46-F35-D42</f>
        <v>1638707.1984615384</v>
      </c>
    </row>
    <row r="49" spans="1:11" ht="14.1" hidden="1" customHeight="1" x14ac:dyDescent="0.25">
      <c r="A49" s="59" t="s">
        <v>56</v>
      </c>
      <c r="B49" s="64">
        <v>0</v>
      </c>
      <c r="C49" s="64"/>
      <c r="D49" s="51">
        <v>0</v>
      </c>
      <c r="E49" s="51"/>
      <c r="F49" s="56"/>
      <c r="H49" s="82">
        <f>D46/B46</f>
        <v>600606.84850278054</v>
      </c>
    </row>
    <row r="50" spans="1:11" ht="14.1" hidden="1" customHeight="1" x14ac:dyDescent="0.25">
      <c r="A50" s="59" t="s">
        <v>57</v>
      </c>
      <c r="B50" s="64">
        <v>0</v>
      </c>
      <c r="C50" s="64"/>
      <c r="D50" s="51">
        <v>0</v>
      </c>
      <c r="E50" s="51"/>
      <c r="F50" s="56"/>
      <c r="H50" s="1">
        <f>D47/B47</f>
        <v>600606.84850278054</v>
      </c>
    </row>
    <row r="51" spans="1:11" ht="14.1" hidden="1" customHeight="1" x14ac:dyDescent="0.25">
      <c r="A51" s="694" t="s">
        <v>58</v>
      </c>
      <c r="B51" s="694"/>
      <c r="C51" s="54"/>
      <c r="D51" s="67">
        <f>F35+D42</f>
        <v>548654.34</v>
      </c>
      <c r="E51" s="56"/>
      <c r="F51" s="56"/>
      <c r="H51" s="1">
        <f>0.65%*H46</f>
        <v>14217.850000000002</v>
      </c>
    </row>
    <row r="52" spans="1:11" ht="14.1" hidden="1" customHeight="1" x14ac:dyDescent="0.25">
      <c r="A52" s="695" t="s">
        <v>59</v>
      </c>
      <c r="B52" s="695"/>
      <c r="C52" s="48"/>
      <c r="D52" s="52">
        <f>F35+E42</f>
        <v>548654.35610729002</v>
      </c>
      <c r="E52" s="56"/>
      <c r="F52" s="56"/>
      <c r="H52" s="1">
        <f>3%*H46</f>
        <v>65620.846153846156</v>
      </c>
    </row>
    <row r="53" spans="1:11" ht="14.1" hidden="1" customHeight="1" x14ac:dyDescent="0.25">
      <c r="A53" s="695" t="s">
        <v>60</v>
      </c>
      <c r="B53" s="695"/>
      <c r="C53" s="48"/>
      <c r="D53" s="52">
        <f>D52/(1-B48)</f>
        <v>600606.84850278054</v>
      </c>
      <c r="E53" s="56"/>
      <c r="F53" s="56"/>
      <c r="H53" s="1">
        <f>5%*H46</f>
        <v>109368.07692307694</v>
      </c>
    </row>
    <row r="54" spans="1:11" s="72" customFormat="1" ht="14.1" customHeight="1" x14ac:dyDescent="0.25">
      <c r="A54" s="691" t="s">
        <v>24</v>
      </c>
      <c r="B54" s="691"/>
      <c r="C54" s="45"/>
      <c r="D54" s="87" t="s">
        <v>10</v>
      </c>
      <c r="E54" s="87" t="s">
        <v>86</v>
      </c>
      <c r="F54" s="87" t="s">
        <v>25</v>
      </c>
      <c r="G54" s="70"/>
      <c r="H54" s="70"/>
      <c r="I54" s="70"/>
      <c r="J54" s="70"/>
      <c r="K54" s="70"/>
    </row>
    <row r="55" spans="1:11" ht="12" customHeight="1" x14ac:dyDescent="0.25">
      <c r="A55" s="691" t="s">
        <v>26</v>
      </c>
      <c r="B55" s="691"/>
      <c r="C55" s="45"/>
      <c r="D55" s="52">
        <f>F35+D42+D48-0.01</f>
        <v>600606.82239549048</v>
      </c>
      <c r="E55" s="52">
        <f>F35+E42+E48-0.03</f>
        <v>600606.81850278052</v>
      </c>
      <c r="F55" s="88" t="s">
        <v>87</v>
      </c>
    </row>
    <row r="56" spans="1:11" ht="12" customHeight="1" x14ac:dyDescent="0.25">
      <c r="A56" s="691" t="s">
        <v>27</v>
      </c>
      <c r="B56" s="691"/>
      <c r="C56" s="46"/>
      <c r="D56" s="52">
        <f>D55*6</f>
        <v>3603640.9343729429</v>
      </c>
      <c r="E56" s="52">
        <f>E55*6+0.02</f>
        <v>3603640.9310166831</v>
      </c>
      <c r="F56" s="88" t="s">
        <v>87</v>
      </c>
    </row>
    <row r="57" spans="1:11" x14ac:dyDescent="0.25">
      <c r="D57" s="73"/>
      <c r="F57" s="73"/>
    </row>
    <row r="58" spans="1:11" x14ac:dyDescent="0.25">
      <c r="D58" s="26"/>
    </row>
    <row r="59" spans="1:11" x14ac:dyDescent="0.25">
      <c r="D59" s="26"/>
    </row>
    <row r="60" spans="1:11" x14ac:dyDescent="0.25">
      <c r="D60" s="26"/>
    </row>
    <row r="61" spans="1:11" x14ac:dyDescent="0.25">
      <c r="D61" s="26"/>
    </row>
    <row r="62" spans="1:11" x14ac:dyDescent="0.25">
      <c r="D62" s="26"/>
    </row>
  </sheetData>
  <mergeCells count="32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24:B24"/>
    <mergeCell ref="A25:B25"/>
    <mergeCell ref="A31:B31"/>
    <mergeCell ref="A33:B33"/>
    <mergeCell ref="A34:B34"/>
    <mergeCell ref="A55:B55"/>
    <mergeCell ref="A56:B56"/>
    <mergeCell ref="A35:B35"/>
    <mergeCell ref="A51:B51"/>
    <mergeCell ref="A52:B52"/>
    <mergeCell ref="A53:B53"/>
    <mergeCell ref="A54:B54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AMJ58"/>
  <sheetViews>
    <sheetView zoomScale="140" zoomScaleNormal="140" workbookViewId="0"/>
  </sheetViews>
  <sheetFormatPr defaultColWidth="9.140625" defaultRowHeight="15" x14ac:dyDescent="0.25"/>
  <cols>
    <col min="1" max="1" width="32.5703125" style="23" customWidth="1"/>
    <col min="2" max="2" width="14.42578125" style="23" customWidth="1"/>
    <col min="3" max="3" width="14" style="25" customWidth="1"/>
    <col min="4" max="4" width="11.5703125" style="26" customWidth="1"/>
    <col min="5" max="5" width="11.85546875" style="26" customWidth="1"/>
    <col min="6" max="6" width="12.140625" style="1" customWidth="1"/>
    <col min="7" max="10" width="9.140625" style="1"/>
    <col min="11" max="1024" width="9.140625" style="28"/>
  </cols>
  <sheetData>
    <row r="1" spans="1:10" x14ac:dyDescent="0.25">
      <c r="A1" s="688" t="s">
        <v>62</v>
      </c>
      <c r="B1" s="688"/>
      <c r="C1" s="688"/>
      <c r="D1" s="688"/>
      <c r="E1" s="688"/>
    </row>
    <row r="2" spans="1:10" s="33" customFormat="1" ht="32.25" customHeight="1" x14ac:dyDescent="0.25">
      <c r="A2" s="698" t="s">
        <v>28</v>
      </c>
      <c r="B2" s="698"/>
      <c r="C2" s="30" t="s">
        <v>64</v>
      </c>
      <c r="D2" s="29" t="s">
        <v>65</v>
      </c>
      <c r="E2" s="29" t="s">
        <v>31</v>
      </c>
      <c r="F2" s="32"/>
      <c r="G2" s="32"/>
      <c r="H2" s="32"/>
      <c r="I2" s="32"/>
      <c r="J2" s="32"/>
    </row>
    <row r="3" spans="1:10" s="33" customFormat="1" ht="14.1" customHeight="1" x14ac:dyDescent="0.25">
      <c r="A3" s="34" t="s">
        <v>33</v>
      </c>
      <c r="B3" s="35"/>
      <c r="C3" s="36"/>
      <c r="D3" s="37">
        <v>155.85</v>
      </c>
      <c r="E3" s="37">
        <f>C3*D3</f>
        <v>0</v>
      </c>
      <c r="F3" s="32"/>
      <c r="G3" s="32"/>
      <c r="H3" s="32"/>
      <c r="I3" s="32"/>
      <c r="J3" s="32"/>
    </row>
    <row r="4" spans="1:10" s="33" customFormat="1" ht="14.1" customHeight="1" x14ac:dyDescent="0.25">
      <c r="A4" s="697" t="s">
        <v>34</v>
      </c>
      <c r="B4" s="697"/>
      <c r="C4" s="36"/>
      <c r="D4" s="37">
        <v>155.85</v>
      </c>
      <c r="E4" s="37">
        <f>C4*D4</f>
        <v>0</v>
      </c>
      <c r="F4" s="32"/>
      <c r="G4" s="32"/>
      <c r="H4" s="32"/>
      <c r="I4" s="32"/>
      <c r="J4" s="32"/>
    </row>
    <row r="5" spans="1:10" s="33" customFormat="1" ht="14.1" customHeight="1" x14ac:dyDescent="0.25">
      <c r="A5" s="697" t="s">
        <v>35</v>
      </c>
      <c r="B5" s="697"/>
      <c r="C5" s="36"/>
      <c r="D5" s="37">
        <v>155.85</v>
      </c>
      <c r="E5" s="37">
        <f>C5*D5</f>
        <v>0</v>
      </c>
      <c r="F5" s="32"/>
      <c r="G5" s="32"/>
      <c r="H5" s="32"/>
      <c r="I5" s="32"/>
      <c r="J5" s="32"/>
    </row>
    <row r="6" spans="1:10" s="33" customFormat="1" ht="14.1" customHeight="1" x14ac:dyDescent="0.25">
      <c r="A6" s="697" t="s">
        <v>36</v>
      </c>
      <c r="B6" s="697"/>
      <c r="C6" s="36"/>
      <c r="D6" s="37">
        <v>186.23</v>
      </c>
      <c r="E6" s="37">
        <f>C6*D6</f>
        <v>0</v>
      </c>
      <c r="F6" s="32"/>
      <c r="G6" s="32"/>
      <c r="H6" s="32"/>
      <c r="I6" s="32"/>
      <c r="J6" s="32"/>
    </row>
    <row r="7" spans="1:10" s="33" customFormat="1" ht="14.1" customHeight="1" x14ac:dyDescent="0.25">
      <c r="A7" s="696" t="s">
        <v>37</v>
      </c>
      <c r="B7" s="696"/>
      <c r="C7" s="30">
        <f>SUM(C3:C6)</f>
        <v>0</v>
      </c>
      <c r="D7" s="29"/>
      <c r="E7" s="29">
        <f>SUM(E3:E6)</f>
        <v>0</v>
      </c>
      <c r="F7" s="32"/>
      <c r="G7" s="32"/>
      <c r="H7" s="32"/>
      <c r="I7" s="32"/>
      <c r="J7" s="32"/>
    </row>
    <row r="8" spans="1:10" s="33" customFormat="1" ht="14.1" customHeight="1" x14ac:dyDescent="0.25">
      <c r="A8" s="89"/>
      <c r="B8" s="40"/>
      <c r="C8" s="30"/>
      <c r="D8" s="29"/>
      <c r="E8" s="29"/>
      <c r="F8" s="32"/>
      <c r="G8" s="32"/>
      <c r="H8" s="32"/>
      <c r="I8" s="32"/>
      <c r="J8" s="32"/>
    </row>
    <row r="9" spans="1:10" s="33" customFormat="1" ht="14.1" customHeight="1" x14ac:dyDescent="0.25">
      <c r="A9" s="697" t="s">
        <v>88</v>
      </c>
      <c r="B9" s="697"/>
      <c r="C9" s="36"/>
      <c r="D9" s="37">
        <v>176.2</v>
      </c>
      <c r="E9" s="37">
        <f>C9*D9</f>
        <v>0</v>
      </c>
      <c r="F9" s="32"/>
      <c r="G9" s="32"/>
      <c r="H9" s="32"/>
      <c r="I9" s="32"/>
      <c r="J9" s="32"/>
    </row>
    <row r="10" spans="1:10" s="33" customFormat="1" ht="14.1" customHeight="1" x14ac:dyDescent="0.25">
      <c r="A10" s="697" t="s">
        <v>89</v>
      </c>
      <c r="B10" s="697"/>
      <c r="C10" s="36"/>
      <c r="D10" s="37">
        <v>176.2</v>
      </c>
      <c r="E10" s="37">
        <f>C10*D10</f>
        <v>0</v>
      </c>
      <c r="F10" s="32"/>
      <c r="G10" s="32"/>
      <c r="H10" s="32"/>
      <c r="I10" s="32"/>
      <c r="J10" s="32"/>
    </row>
    <row r="11" spans="1:10" s="33" customFormat="1" ht="14.1" customHeight="1" x14ac:dyDescent="0.25">
      <c r="A11" s="697" t="s">
        <v>90</v>
      </c>
      <c r="B11" s="697"/>
      <c r="C11" s="36"/>
      <c r="D11" s="37">
        <v>199.15</v>
      </c>
      <c r="E11" s="37">
        <f>C11*D11</f>
        <v>0</v>
      </c>
      <c r="F11" s="32"/>
      <c r="G11" s="32"/>
      <c r="H11" s="32"/>
      <c r="I11" s="32"/>
      <c r="J11" s="32"/>
    </row>
    <row r="12" spans="1:10" s="33" customFormat="1" ht="14.1" customHeight="1" x14ac:dyDescent="0.25">
      <c r="A12" s="697" t="s">
        <v>91</v>
      </c>
      <c r="B12" s="697"/>
      <c r="C12" s="36"/>
      <c r="D12" s="37">
        <v>199.15</v>
      </c>
      <c r="E12" s="37">
        <f>C12*D12</f>
        <v>0</v>
      </c>
      <c r="F12" s="32"/>
      <c r="G12" s="32"/>
      <c r="H12" s="32"/>
      <c r="I12" s="32"/>
      <c r="J12" s="32"/>
    </row>
    <row r="13" spans="1:10" s="33" customFormat="1" ht="14.1" customHeight="1" x14ac:dyDescent="0.25">
      <c r="A13" s="696" t="s">
        <v>72</v>
      </c>
      <c r="B13" s="696"/>
      <c r="C13" s="30">
        <f>SUM(C9:C12)</f>
        <v>0</v>
      </c>
      <c r="D13" s="29"/>
      <c r="E13" s="29">
        <f>SUM(E9:E12)</f>
        <v>0</v>
      </c>
      <c r="F13" s="32"/>
      <c r="G13" s="32"/>
      <c r="H13" s="32"/>
      <c r="I13" s="32"/>
      <c r="J13" s="32"/>
    </row>
    <row r="14" spans="1:10" s="33" customFormat="1" ht="14.1" customHeight="1" x14ac:dyDescent="0.25">
      <c r="A14" s="34"/>
      <c r="B14" s="42"/>
      <c r="C14" s="30"/>
      <c r="D14" s="29"/>
      <c r="E14" s="29"/>
      <c r="F14" s="32"/>
      <c r="G14" s="32"/>
      <c r="H14" s="32"/>
      <c r="I14" s="32"/>
      <c r="J14" s="32"/>
    </row>
    <row r="15" spans="1:10" s="33" customFormat="1" ht="14.1" customHeight="1" x14ac:dyDescent="0.25">
      <c r="A15" s="697" t="s">
        <v>92</v>
      </c>
      <c r="B15" s="697"/>
      <c r="C15" s="36"/>
      <c r="D15" s="37">
        <v>160.19999999999999</v>
      </c>
      <c r="E15" s="37">
        <f t="shared" ref="E15:E20" si="0">C15*D15</f>
        <v>0</v>
      </c>
      <c r="F15" s="32"/>
      <c r="G15" s="32"/>
      <c r="H15" s="32"/>
      <c r="I15" s="32"/>
      <c r="J15" s="32"/>
    </row>
    <row r="16" spans="1:10" s="33" customFormat="1" ht="14.1" customHeight="1" x14ac:dyDescent="0.25">
      <c r="A16" s="697" t="s">
        <v>93</v>
      </c>
      <c r="B16" s="697"/>
      <c r="C16" s="36"/>
      <c r="D16" s="37">
        <v>160.19999999999999</v>
      </c>
      <c r="E16" s="37">
        <f t="shared" si="0"/>
        <v>0</v>
      </c>
      <c r="F16" s="32"/>
      <c r="G16" s="32"/>
      <c r="H16" s="32"/>
      <c r="I16" s="32"/>
      <c r="J16" s="32"/>
    </row>
    <row r="17" spans="1:10" s="33" customFormat="1" ht="14.1" customHeight="1" x14ac:dyDescent="0.25">
      <c r="A17" s="697" t="s">
        <v>94</v>
      </c>
      <c r="B17" s="697"/>
      <c r="C17" s="36"/>
      <c r="D17" s="37">
        <v>225</v>
      </c>
      <c r="E17" s="37">
        <f t="shared" si="0"/>
        <v>0</v>
      </c>
      <c r="F17" s="32"/>
      <c r="G17" s="32"/>
      <c r="H17" s="32"/>
      <c r="I17" s="32"/>
      <c r="J17" s="32"/>
    </row>
    <row r="18" spans="1:10" s="33" customFormat="1" ht="14.1" customHeight="1" x14ac:dyDescent="0.25">
      <c r="A18" s="697" t="s">
        <v>45</v>
      </c>
      <c r="B18" s="697"/>
      <c r="C18" s="36"/>
      <c r="D18" s="37">
        <v>225</v>
      </c>
      <c r="E18" s="37">
        <f t="shared" si="0"/>
        <v>0</v>
      </c>
      <c r="F18" s="32"/>
      <c r="G18" s="32"/>
      <c r="H18" s="32"/>
      <c r="I18" s="32"/>
      <c r="J18" s="32"/>
    </row>
    <row r="19" spans="1:10" s="33" customFormat="1" ht="14.1" customHeight="1" x14ac:dyDescent="0.25">
      <c r="A19" s="697" t="s">
        <v>46</v>
      </c>
      <c r="B19" s="697"/>
      <c r="C19" s="36"/>
      <c r="D19" s="37">
        <v>225</v>
      </c>
      <c r="E19" s="37">
        <f t="shared" si="0"/>
        <v>0</v>
      </c>
      <c r="F19" s="32"/>
      <c r="G19" s="32"/>
      <c r="H19" s="32"/>
      <c r="I19" s="32"/>
      <c r="J19" s="32"/>
    </row>
    <row r="20" spans="1:10" s="33" customFormat="1" ht="14.1" customHeight="1" x14ac:dyDescent="0.25">
      <c r="A20" s="697" t="s">
        <v>47</v>
      </c>
      <c r="B20" s="697"/>
      <c r="C20" s="36"/>
      <c r="D20" s="37">
        <v>225</v>
      </c>
      <c r="E20" s="37">
        <f t="shared" si="0"/>
        <v>0</v>
      </c>
      <c r="F20" s="32"/>
      <c r="G20" s="32"/>
      <c r="H20" s="32"/>
      <c r="I20" s="32"/>
      <c r="J20" s="32"/>
    </row>
    <row r="21" spans="1:10" s="33" customFormat="1" ht="14.1" customHeight="1" x14ac:dyDescent="0.25">
      <c r="A21" s="696" t="s">
        <v>74</v>
      </c>
      <c r="B21" s="696"/>
      <c r="C21" s="30">
        <f>SUM(C15:C20)</f>
        <v>0</v>
      </c>
      <c r="D21" s="29"/>
      <c r="E21" s="29">
        <f>SUM(E15:E20)</f>
        <v>0</v>
      </c>
      <c r="F21" s="32"/>
      <c r="G21" s="32"/>
      <c r="H21" s="32"/>
      <c r="I21" s="32"/>
      <c r="J21" s="32"/>
    </row>
    <row r="22" spans="1:10" s="33" customFormat="1" ht="14.1" customHeight="1" x14ac:dyDescent="0.25">
      <c r="A22" s="34"/>
      <c r="B22" s="42"/>
      <c r="C22" s="30"/>
      <c r="D22" s="29"/>
      <c r="E22" s="29"/>
      <c r="F22" s="32"/>
      <c r="G22" s="32"/>
      <c r="H22" s="32"/>
      <c r="I22" s="32"/>
      <c r="J22" s="32"/>
    </row>
    <row r="23" spans="1:10" s="33" customFormat="1" ht="14.1" customHeight="1" x14ac:dyDescent="0.25">
      <c r="A23" s="34" t="s">
        <v>49</v>
      </c>
      <c r="B23" s="42"/>
      <c r="C23" s="36"/>
      <c r="D23" s="37">
        <v>165.2</v>
      </c>
      <c r="E23" s="37">
        <f>C23*D23</f>
        <v>0</v>
      </c>
      <c r="F23" s="32"/>
      <c r="G23" s="32"/>
      <c r="H23" s="32"/>
      <c r="I23" s="32"/>
      <c r="J23" s="32"/>
    </row>
    <row r="24" spans="1:10" s="33" customFormat="1" ht="14.1" customHeight="1" x14ac:dyDescent="0.25">
      <c r="A24" s="44" t="s">
        <v>50</v>
      </c>
      <c r="B24" s="42"/>
      <c r="C24" s="30">
        <f>SUM(C23)</f>
        <v>0</v>
      </c>
      <c r="D24" s="29"/>
      <c r="E24" s="29">
        <f>SUM(E23)</f>
        <v>0</v>
      </c>
      <c r="F24" s="32"/>
      <c r="G24" s="32"/>
      <c r="H24" s="32"/>
      <c r="I24" s="32"/>
      <c r="J24" s="32"/>
    </row>
    <row r="25" spans="1:10" s="33" customFormat="1" ht="14.1" customHeight="1" x14ac:dyDescent="0.25">
      <c r="A25" s="34"/>
      <c r="B25" s="42"/>
      <c r="C25" s="30"/>
      <c r="D25" s="29"/>
      <c r="E25" s="29"/>
      <c r="F25" s="32"/>
      <c r="G25" s="32"/>
      <c r="H25" s="32"/>
      <c r="I25" s="32"/>
      <c r="J25" s="32"/>
    </row>
    <row r="26" spans="1:10" s="33" customFormat="1" ht="14.1" customHeight="1" x14ac:dyDescent="0.25">
      <c r="A26" s="34" t="s">
        <v>51</v>
      </c>
      <c r="B26" s="42"/>
      <c r="C26" s="36"/>
      <c r="D26" s="37">
        <v>165.2</v>
      </c>
      <c r="E26" s="37">
        <f>C26*D26</f>
        <v>0</v>
      </c>
      <c r="F26" s="32"/>
      <c r="G26" s="32"/>
      <c r="H26" s="32"/>
      <c r="I26" s="32"/>
      <c r="J26" s="32"/>
    </row>
    <row r="27" spans="1:10" s="33" customFormat="1" ht="14.1" customHeight="1" x14ac:dyDescent="0.25">
      <c r="A27" s="696" t="s">
        <v>52</v>
      </c>
      <c r="B27" s="696"/>
      <c r="C27" s="30">
        <f>SUM(C26)</f>
        <v>0</v>
      </c>
      <c r="D27" s="29"/>
      <c r="E27" s="29">
        <f>SUM(E26)</f>
        <v>0</v>
      </c>
      <c r="F27" s="32"/>
      <c r="G27" s="32"/>
      <c r="H27" s="32"/>
      <c r="I27" s="32"/>
      <c r="J27" s="32"/>
    </row>
    <row r="28" spans="1:10" s="33" customFormat="1" ht="14.1" customHeight="1" x14ac:dyDescent="0.25">
      <c r="A28" s="34"/>
      <c r="B28" s="42"/>
      <c r="C28" s="30"/>
      <c r="D28" s="29"/>
      <c r="E28" s="29"/>
      <c r="F28" s="32"/>
      <c r="G28" s="32"/>
      <c r="H28" s="32"/>
      <c r="I28" s="32"/>
      <c r="J28" s="32"/>
    </row>
    <row r="29" spans="1:10" ht="14.1" customHeight="1" x14ac:dyDescent="0.25">
      <c r="A29" s="693" t="s">
        <v>7</v>
      </c>
      <c r="B29" s="693"/>
      <c r="C29" s="30">
        <f>C7+C13+C21+C24+C27</f>
        <v>0</v>
      </c>
      <c r="D29" s="47"/>
      <c r="E29" s="29">
        <f>E7+E13+E21+E24+E27</f>
        <v>0</v>
      </c>
    </row>
    <row r="30" spans="1:10" ht="14.1" customHeight="1" x14ac:dyDescent="0.25">
      <c r="A30" s="692"/>
      <c r="B30" s="692"/>
      <c r="C30" s="50"/>
      <c r="D30" s="51"/>
      <c r="E30" s="51"/>
    </row>
    <row r="31" spans="1:10" ht="14.1" customHeight="1" x14ac:dyDescent="0.25">
      <c r="A31" s="693" t="s">
        <v>8</v>
      </c>
      <c r="B31" s="693"/>
      <c r="C31" s="50"/>
      <c r="D31" s="51"/>
      <c r="E31" s="52">
        <f>SUM(E29:E30)</f>
        <v>0</v>
      </c>
    </row>
    <row r="32" spans="1:10" ht="14.1" customHeight="1" x14ac:dyDescent="0.25">
      <c r="A32" s="53"/>
      <c r="B32" s="53"/>
      <c r="C32" s="55"/>
      <c r="D32" s="56"/>
      <c r="E32" s="56"/>
    </row>
    <row r="33" spans="1:6" ht="14.1" customHeight="1" x14ac:dyDescent="0.25">
      <c r="A33" s="57"/>
      <c r="B33" s="57" t="s">
        <v>9</v>
      </c>
      <c r="C33" s="50" t="s">
        <v>10</v>
      </c>
      <c r="D33" s="58" t="s">
        <v>11</v>
      </c>
      <c r="E33" s="56"/>
    </row>
    <row r="34" spans="1:6" ht="14.1" customHeight="1" x14ac:dyDescent="0.25">
      <c r="A34" s="59" t="s">
        <v>12</v>
      </c>
      <c r="B34" s="57"/>
      <c r="C34" s="60" t="s">
        <v>13</v>
      </c>
      <c r="D34" s="58" t="s">
        <v>13</v>
      </c>
      <c r="E34" s="56"/>
    </row>
    <row r="35" spans="1:6" ht="14.1" customHeight="1" x14ac:dyDescent="0.25">
      <c r="A35" s="59" t="s">
        <v>54</v>
      </c>
      <c r="B35" s="65">
        <v>0.06</v>
      </c>
      <c r="C35" s="51">
        <f>B35*E31</f>
        <v>0</v>
      </c>
      <c r="D35" s="51">
        <f>B35*E31</f>
        <v>0</v>
      </c>
      <c r="E35" s="56"/>
    </row>
    <row r="36" spans="1:6" ht="14.1" customHeight="1" x14ac:dyDescent="0.25">
      <c r="A36" s="59" t="s">
        <v>15</v>
      </c>
      <c r="B36" s="48">
        <v>0</v>
      </c>
      <c r="C36" s="51">
        <v>0</v>
      </c>
      <c r="D36" s="51">
        <v>0</v>
      </c>
      <c r="E36" s="56"/>
    </row>
    <row r="37" spans="1:6" ht="14.1" customHeight="1" x14ac:dyDescent="0.25">
      <c r="A37" s="59" t="s">
        <v>55</v>
      </c>
      <c r="B37" s="65">
        <v>0.04</v>
      </c>
      <c r="C37" s="51">
        <f>(E31+D35)*B37</f>
        <v>0</v>
      </c>
      <c r="D37" s="51">
        <f>(E31+D35)*B37</f>
        <v>0</v>
      </c>
      <c r="E37" s="56"/>
    </row>
    <row r="38" spans="1:6" ht="14.1" customHeight="1" x14ac:dyDescent="0.25">
      <c r="A38" s="59" t="s">
        <v>17</v>
      </c>
      <c r="B38" s="48"/>
      <c r="C38" s="51">
        <f>SUM(C35:C37)</f>
        <v>0</v>
      </c>
      <c r="D38" s="51">
        <f>SUM(D35:D37)</f>
        <v>0</v>
      </c>
      <c r="E38" s="56"/>
    </row>
    <row r="39" spans="1:6" ht="14.1" customHeight="1" x14ac:dyDescent="0.25">
      <c r="A39" s="59"/>
      <c r="B39" s="48"/>
      <c r="C39" s="51"/>
      <c r="D39" s="51"/>
      <c r="E39" s="56"/>
    </row>
    <row r="40" spans="1:6" ht="14.1" customHeight="1" x14ac:dyDescent="0.25">
      <c r="A40" s="59" t="s">
        <v>18</v>
      </c>
      <c r="B40" s="48"/>
      <c r="C40" s="58" t="s">
        <v>13</v>
      </c>
      <c r="D40" s="51"/>
      <c r="E40" s="56"/>
      <c r="F40" s="1" t="s">
        <v>75</v>
      </c>
    </row>
    <row r="41" spans="1:6" ht="14.1" customHeight="1" x14ac:dyDescent="0.25">
      <c r="A41" s="59" t="s">
        <v>19</v>
      </c>
      <c r="B41" s="64">
        <v>6.4999999999999997E-3</v>
      </c>
      <c r="C41" s="51">
        <f>B41*C47</f>
        <v>0</v>
      </c>
      <c r="D41" s="51">
        <f>B41*C49</f>
        <v>0</v>
      </c>
      <c r="E41" s="56"/>
    </row>
    <row r="42" spans="1:6" ht="14.1" customHeight="1" x14ac:dyDescent="0.25">
      <c r="A42" s="59" t="s">
        <v>20</v>
      </c>
      <c r="B42" s="65">
        <v>0.03</v>
      </c>
      <c r="C42" s="51">
        <f>B42*C47</f>
        <v>0</v>
      </c>
      <c r="D42" s="51">
        <f>B42*C49</f>
        <v>0</v>
      </c>
      <c r="E42" s="56"/>
    </row>
    <row r="43" spans="1:6" ht="14.1" customHeight="1" x14ac:dyDescent="0.25">
      <c r="A43" s="59" t="s">
        <v>21</v>
      </c>
      <c r="B43" s="65">
        <v>0.05</v>
      </c>
      <c r="C43" s="51">
        <f>B43*C47</f>
        <v>0</v>
      </c>
      <c r="D43" s="51">
        <f>B43*C49</f>
        <v>0</v>
      </c>
      <c r="E43" s="56"/>
    </row>
    <row r="44" spans="1:6" ht="14.1" customHeight="1" x14ac:dyDescent="0.25">
      <c r="A44" s="59"/>
      <c r="B44" s="64">
        <f>SUM(B41:B43)</f>
        <v>8.6499999999999994E-2</v>
      </c>
      <c r="C44" s="51">
        <f>SUM(C41:C43)</f>
        <v>0</v>
      </c>
      <c r="D44" s="51">
        <f>SUM(D41:D43)</f>
        <v>0</v>
      </c>
      <c r="E44" s="56"/>
    </row>
    <row r="45" spans="1:6" ht="14.1" customHeight="1" x14ac:dyDescent="0.25">
      <c r="A45" s="59" t="s">
        <v>56</v>
      </c>
      <c r="B45" s="64">
        <v>0</v>
      </c>
      <c r="C45" s="51">
        <v>0</v>
      </c>
      <c r="D45" s="51"/>
      <c r="E45" s="56"/>
    </row>
    <row r="46" spans="1:6" ht="14.1" customHeight="1" x14ac:dyDescent="0.25">
      <c r="A46" s="59" t="s">
        <v>57</v>
      </c>
      <c r="B46" s="64">
        <v>0</v>
      </c>
      <c r="C46" s="51">
        <v>0</v>
      </c>
      <c r="D46" s="51"/>
      <c r="E46" s="56"/>
    </row>
    <row r="47" spans="1:6" ht="14.1" customHeight="1" x14ac:dyDescent="0.25">
      <c r="A47" s="694" t="s">
        <v>58</v>
      </c>
      <c r="B47" s="694"/>
      <c r="C47" s="67">
        <f>E31+C38</f>
        <v>0</v>
      </c>
      <c r="D47" s="56"/>
      <c r="E47" s="56"/>
    </row>
    <row r="48" spans="1:6" ht="14.1" customHeight="1" x14ac:dyDescent="0.25">
      <c r="A48" s="695" t="s">
        <v>22</v>
      </c>
      <c r="B48" s="695"/>
      <c r="C48" s="51">
        <f>E31+D38</f>
        <v>0</v>
      </c>
      <c r="D48" s="56"/>
      <c r="E48" s="56"/>
    </row>
    <row r="49" spans="1:10" ht="14.1" customHeight="1" x14ac:dyDescent="0.25">
      <c r="A49" s="695" t="s">
        <v>60</v>
      </c>
      <c r="B49" s="695"/>
      <c r="C49" s="51">
        <f>C48/(1-B44)</f>
        <v>0</v>
      </c>
      <c r="D49" s="56"/>
      <c r="E49" s="56"/>
    </row>
    <row r="50" spans="1:10" s="72" customFormat="1" ht="14.1" customHeight="1" x14ac:dyDescent="0.25">
      <c r="A50" s="691" t="s">
        <v>24</v>
      </c>
      <c r="B50" s="691"/>
      <c r="C50" s="84" t="s">
        <v>10</v>
      </c>
      <c r="D50" s="84" t="s">
        <v>11</v>
      </c>
      <c r="E50" s="84" t="s">
        <v>25</v>
      </c>
      <c r="F50" s="70"/>
      <c r="G50" s="70"/>
      <c r="H50" s="70"/>
      <c r="I50" s="70"/>
      <c r="J50" s="70"/>
    </row>
    <row r="51" spans="1:10" ht="14.1" customHeight="1" x14ac:dyDescent="0.25">
      <c r="A51" s="691" t="s">
        <v>26</v>
      </c>
      <c r="B51" s="691"/>
      <c r="C51" s="52">
        <f>E31+C38+C44+C45+C46</f>
        <v>0</v>
      </c>
      <c r="D51" s="52">
        <f>E31+D38+D44</f>
        <v>0</v>
      </c>
      <c r="E51" s="52">
        <f>C51-D51</f>
        <v>0</v>
      </c>
    </row>
    <row r="52" spans="1:10" ht="14.1" customHeight="1" x14ac:dyDescent="0.25">
      <c r="A52" s="691" t="s">
        <v>27</v>
      </c>
      <c r="B52" s="691"/>
      <c r="C52" s="52">
        <f>C51*12</f>
        <v>0</v>
      </c>
      <c r="D52" s="52">
        <f>D51*6</f>
        <v>0</v>
      </c>
      <c r="E52" s="52">
        <f>C52-D52</f>
        <v>0</v>
      </c>
    </row>
    <row r="53" spans="1:10" x14ac:dyDescent="0.25">
      <c r="C53" s="26"/>
    </row>
    <row r="54" spans="1:10" x14ac:dyDescent="0.25">
      <c r="C54" s="26"/>
    </row>
    <row r="55" spans="1:10" x14ac:dyDescent="0.25">
      <c r="C55" s="26"/>
    </row>
    <row r="56" spans="1:10" x14ac:dyDescent="0.25">
      <c r="C56" s="26"/>
    </row>
    <row r="57" spans="1:10" x14ac:dyDescent="0.25">
      <c r="C57" s="26"/>
    </row>
    <row r="58" spans="1:10" x14ac:dyDescent="0.25">
      <c r="C58" s="26"/>
    </row>
  </sheetData>
  <mergeCells count="28">
    <mergeCell ref="A1:E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27:B27"/>
    <mergeCell ref="A29:B29"/>
    <mergeCell ref="A50:B50"/>
    <mergeCell ref="A51:B51"/>
    <mergeCell ref="A52:B52"/>
    <mergeCell ref="A30:B30"/>
    <mergeCell ref="A31:B31"/>
    <mergeCell ref="A47:B47"/>
    <mergeCell ref="A48:B48"/>
    <mergeCell ref="A49:B49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AMJ26"/>
  <sheetViews>
    <sheetView zoomScale="140" zoomScaleNormal="140" workbookViewId="0">
      <selection activeCell="D26" sqref="D26"/>
    </sheetView>
  </sheetViews>
  <sheetFormatPr defaultColWidth="9.140625" defaultRowHeight="15" x14ac:dyDescent="0.25"/>
  <cols>
    <col min="1" max="1" width="32.5703125" style="23" customWidth="1"/>
    <col min="2" max="2" width="6.85546875" style="23" customWidth="1"/>
    <col min="3" max="4" width="12" style="26" customWidth="1"/>
    <col min="5" max="5" width="10.5703125" style="26" customWidth="1"/>
    <col min="6" max="6" width="5.85546875" style="26" customWidth="1"/>
    <col min="7" max="11" width="9.140625" style="1"/>
    <col min="12" max="1024" width="9.140625" style="28"/>
  </cols>
  <sheetData>
    <row r="1" spans="1:11" x14ac:dyDescent="0.25">
      <c r="A1" s="688" t="s">
        <v>62</v>
      </c>
      <c r="B1" s="688"/>
      <c r="C1" s="688"/>
      <c r="D1" s="688"/>
      <c r="E1" s="688"/>
      <c r="F1" s="688"/>
    </row>
    <row r="2" spans="1:11" s="33" customFormat="1" ht="20.25" customHeight="1" x14ac:dyDescent="0.25">
      <c r="A2" s="698" t="s">
        <v>1</v>
      </c>
      <c r="B2" s="698"/>
      <c r="C2" s="29" t="s">
        <v>2</v>
      </c>
      <c r="D2" s="29" t="s">
        <v>3</v>
      </c>
      <c r="E2" s="29" t="s">
        <v>4</v>
      </c>
      <c r="F2" s="29" t="s">
        <v>95</v>
      </c>
      <c r="G2" s="32"/>
      <c r="H2" s="32"/>
      <c r="I2" s="32"/>
      <c r="J2" s="32"/>
      <c r="K2" s="32"/>
    </row>
    <row r="3" spans="1:11" ht="9" customHeight="1" x14ac:dyDescent="0.25">
      <c r="A3" s="693" t="s">
        <v>7</v>
      </c>
      <c r="B3" s="693"/>
      <c r="C3" s="51">
        <v>47950</v>
      </c>
      <c r="D3" s="47">
        <v>40</v>
      </c>
      <c r="E3" s="51">
        <f>C3*D3</f>
        <v>1918000</v>
      </c>
      <c r="F3" s="47">
        <v>8</v>
      </c>
    </row>
    <row r="4" spans="1:11" ht="9" customHeight="1" x14ac:dyDescent="0.25">
      <c r="A4" s="692"/>
      <c r="B4" s="692"/>
      <c r="C4" s="51"/>
      <c r="D4" s="51"/>
      <c r="E4" s="51"/>
      <c r="F4" s="51"/>
    </row>
    <row r="5" spans="1:11" ht="9" customHeight="1" x14ac:dyDescent="0.25">
      <c r="A5" s="693" t="s">
        <v>8</v>
      </c>
      <c r="B5" s="693"/>
      <c r="C5" s="51"/>
      <c r="D5" s="51"/>
      <c r="E5" s="51">
        <f>SUM(E3:E4)</f>
        <v>1918000</v>
      </c>
      <c r="F5" s="47">
        <f>F3</f>
        <v>8</v>
      </c>
    </row>
    <row r="6" spans="1:11" ht="9" customHeight="1" x14ac:dyDescent="0.25">
      <c r="A6" s="53"/>
      <c r="B6" s="53"/>
      <c r="C6" s="56"/>
      <c r="D6" s="56"/>
      <c r="E6" s="56"/>
      <c r="F6" s="56"/>
    </row>
    <row r="7" spans="1:11" ht="9" customHeight="1" x14ac:dyDescent="0.25">
      <c r="A7" s="57"/>
      <c r="B7" s="57" t="s">
        <v>9</v>
      </c>
      <c r="C7" s="51" t="s">
        <v>10</v>
      </c>
      <c r="D7" s="58" t="s">
        <v>11</v>
      </c>
      <c r="E7" s="56"/>
      <c r="F7" s="56"/>
    </row>
    <row r="8" spans="1:11" ht="9" customHeight="1" x14ac:dyDescent="0.25">
      <c r="A8" s="59" t="s">
        <v>12</v>
      </c>
      <c r="B8" s="57"/>
      <c r="C8" s="58" t="s">
        <v>13</v>
      </c>
      <c r="D8" s="58" t="s">
        <v>13</v>
      </c>
      <c r="E8" s="56"/>
      <c r="F8" s="56"/>
    </row>
    <row r="9" spans="1:11" ht="9" customHeight="1" x14ac:dyDescent="0.25">
      <c r="A9" s="59" t="s">
        <v>54</v>
      </c>
      <c r="B9" s="65">
        <v>0.06</v>
      </c>
      <c r="C9" s="51">
        <f>B9*E5</f>
        <v>115080</v>
      </c>
      <c r="D9" s="51">
        <f>B9*E5</f>
        <v>115080</v>
      </c>
      <c r="E9" s="56"/>
      <c r="F9" s="56"/>
    </row>
    <row r="10" spans="1:11" ht="9" customHeight="1" x14ac:dyDescent="0.25">
      <c r="A10" s="59" t="s">
        <v>15</v>
      </c>
      <c r="B10" s="48">
        <v>0</v>
      </c>
      <c r="C10" s="51">
        <v>0</v>
      </c>
      <c r="D10" s="51">
        <v>0</v>
      </c>
      <c r="E10" s="56"/>
      <c r="F10" s="56"/>
    </row>
    <row r="11" spans="1:11" ht="9" customHeight="1" x14ac:dyDescent="0.25">
      <c r="A11" s="59" t="s">
        <v>55</v>
      </c>
      <c r="B11" s="65">
        <v>0.04</v>
      </c>
      <c r="C11" s="51">
        <v>76720</v>
      </c>
      <c r="D11" s="51">
        <f>(E5+D9)*B11</f>
        <v>81323.199999999997</v>
      </c>
      <c r="E11" s="56"/>
      <c r="F11" s="56"/>
    </row>
    <row r="12" spans="1:11" ht="9" customHeight="1" x14ac:dyDescent="0.25">
      <c r="A12" s="59" t="s">
        <v>17</v>
      </c>
      <c r="B12" s="48"/>
      <c r="C12" s="51">
        <f>SUM(C9:C11)</f>
        <v>191800</v>
      </c>
      <c r="D12" s="51">
        <f>SUM(D9:D11)</f>
        <v>196403.20000000001</v>
      </c>
      <c r="E12" s="56"/>
      <c r="F12" s="56"/>
    </row>
    <row r="13" spans="1:11" ht="9" customHeight="1" x14ac:dyDescent="0.25">
      <c r="A13" s="59"/>
      <c r="B13" s="48"/>
      <c r="C13" s="51"/>
      <c r="D13" s="51"/>
      <c r="E13" s="56"/>
      <c r="F13" s="56"/>
    </row>
    <row r="14" spans="1:11" ht="9" customHeight="1" x14ac:dyDescent="0.25">
      <c r="A14" s="59" t="s">
        <v>18</v>
      </c>
      <c r="B14" s="48"/>
      <c r="C14" s="58" t="s">
        <v>13</v>
      </c>
      <c r="D14" s="51"/>
      <c r="E14" s="56"/>
      <c r="F14" s="56"/>
    </row>
    <row r="15" spans="1:11" ht="9" customHeight="1" x14ac:dyDescent="0.25">
      <c r="A15" s="59" t="s">
        <v>19</v>
      </c>
      <c r="B15" s="64">
        <v>6.4999999999999997E-3</v>
      </c>
      <c r="C15" s="51">
        <f>B15*E5</f>
        <v>12467</v>
      </c>
      <c r="D15" s="51">
        <f>B15*C23</f>
        <v>15045.014559386973</v>
      </c>
      <c r="E15" s="56"/>
      <c r="F15" s="56"/>
    </row>
    <row r="16" spans="1:11" ht="9" customHeight="1" x14ac:dyDescent="0.25">
      <c r="A16" s="59" t="s">
        <v>20</v>
      </c>
      <c r="B16" s="65">
        <v>0.03</v>
      </c>
      <c r="C16" s="51">
        <f>B16*E5</f>
        <v>57540</v>
      </c>
      <c r="D16" s="51">
        <f>B16*C23</f>
        <v>69438.528735632193</v>
      </c>
      <c r="E16" s="56"/>
      <c r="F16" s="56"/>
    </row>
    <row r="17" spans="1:11" ht="9" customHeight="1" x14ac:dyDescent="0.25">
      <c r="A17" s="59" t="s">
        <v>21</v>
      </c>
      <c r="B17" s="65">
        <v>0.05</v>
      </c>
      <c r="C17" s="51">
        <f>B17*E5</f>
        <v>95900</v>
      </c>
      <c r="D17" s="51">
        <f>B17*C23</f>
        <v>115730.88122605365</v>
      </c>
      <c r="E17" s="56"/>
      <c r="F17" s="56"/>
    </row>
    <row r="18" spans="1:11" ht="9" customHeight="1" x14ac:dyDescent="0.25">
      <c r="A18" s="59"/>
      <c r="B18" s="64">
        <f>SUM(B15:B17)</f>
        <v>8.6499999999999994E-2</v>
      </c>
      <c r="C18" s="51">
        <f>SUM(C15:C17)</f>
        <v>165907</v>
      </c>
      <c r="D18" s="51">
        <f>SUM(D15:D17)</f>
        <v>200214.42452107283</v>
      </c>
      <c r="E18" s="56"/>
      <c r="F18" s="56"/>
    </row>
    <row r="19" spans="1:11" ht="9" customHeight="1" x14ac:dyDescent="0.25">
      <c r="A19" s="59" t="s">
        <v>56</v>
      </c>
      <c r="B19" s="64">
        <v>0.09</v>
      </c>
      <c r="C19" s="51">
        <f>B19*E5</f>
        <v>172620</v>
      </c>
      <c r="D19" s="51"/>
      <c r="E19" s="56"/>
      <c r="F19" s="56"/>
    </row>
    <row r="20" spans="1:11" ht="9" customHeight="1" x14ac:dyDescent="0.25">
      <c r="A20" s="59" t="s">
        <v>57</v>
      </c>
      <c r="B20" s="64" t="s">
        <v>96</v>
      </c>
      <c r="C20" s="51">
        <f>E5*25%</f>
        <v>479500</v>
      </c>
      <c r="D20" s="51"/>
      <c r="E20" s="56"/>
      <c r="F20" s="56"/>
    </row>
    <row r="21" spans="1:11" ht="9" hidden="1" customHeight="1" x14ac:dyDescent="0.25">
      <c r="A21" s="90"/>
      <c r="B21" s="90"/>
      <c r="C21" s="56"/>
      <c r="D21" s="56"/>
      <c r="E21" s="56"/>
      <c r="F21" s="56"/>
    </row>
    <row r="22" spans="1:11" ht="9" hidden="1" customHeight="1" x14ac:dyDescent="0.25">
      <c r="A22" s="695" t="s">
        <v>22</v>
      </c>
      <c r="B22" s="695"/>
      <c r="C22" s="91">
        <f>E5+D12</f>
        <v>2114403.2000000002</v>
      </c>
      <c r="D22" s="56"/>
      <c r="E22" s="56"/>
      <c r="F22" s="56"/>
    </row>
    <row r="23" spans="1:11" ht="9" hidden="1" customHeight="1" x14ac:dyDescent="0.25">
      <c r="A23" s="695" t="s">
        <v>60</v>
      </c>
      <c r="B23" s="695"/>
      <c r="C23" s="51">
        <f>C22/(1-B18)</f>
        <v>2314617.624521073</v>
      </c>
      <c r="D23" s="56"/>
      <c r="E23" s="56"/>
      <c r="F23" s="56"/>
    </row>
    <row r="24" spans="1:11" s="72" customFormat="1" ht="9" customHeight="1" x14ac:dyDescent="0.25">
      <c r="A24" s="691" t="s">
        <v>24</v>
      </c>
      <c r="B24" s="691"/>
      <c r="C24" s="58" t="s">
        <v>10</v>
      </c>
      <c r="D24" s="58" t="s">
        <v>11</v>
      </c>
      <c r="E24" s="58" t="s">
        <v>25</v>
      </c>
      <c r="F24" s="92"/>
      <c r="G24" s="70"/>
      <c r="H24" s="70"/>
      <c r="I24" s="70"/>
      <c r="J24" s="70"/>
      <c r="K24" s="70"/>
    </row>
    <row r="25" spans="1:11" ht="9" customHeight="1" x14ac:dyDescent="0.25">
      <c r="A25" s="691" t="s">
        <v>26</v>
      </c>
      <c r="B25" s="691"/>
      <c r="C25" s="51">
        <f>E5+C12+C18+C19+C20</f>
        <v>2927827</v>
      </c>
      <c r="D25" s="51">
        <f>E5+D12+D18</f>
        <v>2314617.624521073</v>
      </c>
      <c r="E25" s="51">
        <f>C25-D25</f>
        <v>613209.37547892705</v>
      </c>
      <c r="F25" s="56"/>
    </row>
    <row r="26" spans="1:11" ht="9" customHeight="1" x14ac:dyDescent="0.25">
      <c r="A26" s="691" t="s">
        <v>27</v>
      </c>
      <c r="B26" s="691"/>
      <c r="C26" s="51">
        <f>C25*6</f>
        <v>17566962</v>
      </c>
      <c r="D26" s="51">
        <f>D25*6</f>
        <v>13887705.747126438</v>
      </c>
      <c r="E26" s="51">
        <f>C26-D26</f>
        <v>3679256.2528735623</v>
      </c>
      <c r="F26" s="56"/>
    </row>
  </sheetData>
  <mergeCells count="10">
    <mergeCell ref="A1:F1"/>
    <mergeCell ref="A2:B2"/>
    <mergeCell ref="A3:B3"/>
    <mergeCell ref="A4:B4"/>
    <mergeCell ref="A5:B5"/>
    <mergeCell ref="A22:B22"/>
    <mergeCell ref="A23:B23"/>
    <mergeCell ref="A24:B24"/>
    <mergeCell ref="A25:B25"/>
    <mergeCell ref="A26:B26"/>
  </mergeCells>
  <pageMargins left="0.51180555555555496" right="0.51180555555555496" top="0.78749999999999998" bottom="0.78749999999999998" header="0.51180555555555496" footer="0.51180555555555496"/>
  <pageSetup paperSize="8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L29"/>
  <sheetViews>
    <sheetView zoomScale="140" zoomScaleNormal="140" workbookViewId="0">
      <selection activeCell="A25" sqref="A25"/>
    </sheetView>
  </sheetViews>
  <sheetFormatPr defaultColWidth="9.140625" defaultRowHeight="15" x14ac:dyDescent="0.25"/>
  <cols>
    <col min="1" max="1" width="22.5703125" customWidth="1"/>
    <col min="2" max="2" width="8.7109375" customWidth="1"/>
    <col min="3" max="3" width="11" style="1" customWidth="1"/>
    <col min="4" max="4" width="14.42578125" style="1" customWidth="1"/>
    <col min="5" max="5" width="10.28515625" style="1" customWidth="1"/>
    <col min="6" max="6" width="8.28515625" style="1" customWidth="1"/>
    <col min="7" max="7" width="12.140625" style="1" customWidth="1"/>
    <col min="8" max="12" width="9.140625" style="1"/>
  </cols>
  <sheetData>
    <row r="1" spans="1:12" x14ac:dyDescent="0.25">
      <c r="A1" s="688" t="s">
        <v>97</v>
      </c>
      <c r="B1" s="688"/>
      <c r="C1" s="688"/>
      <c r="D1" s="688"/>
      <c r="E1" s="688"/>
      <c r="F1" s="688"/>
      <c r="G1" s="688"/>
    </row>
    <row r="2" spans="1:12" s="94" customFormat="1" ht="18.75" customHeight="1" x14ac:dyDescent="0.25">
      <c r="A2" s="689" t="s">
        <v>1</v>
      </c>
      <c r="B2" s="689"/>
      <c r="C2" s="93" t="s">
        <v>2</v>
      </c>
      <c r="D2" s="93" t="s">
        <v>3</v>
      </c>
      <c r="E2" s="93" t="s">
        <v>4</v>
      </c>
      <c r="F2" s="93" t="s">
        <v>98</v>
      </c>
      <c r="G2" s="93" t="s">
        <v>99</v>
      </c>
      <c r="H2" s="32"/>
      <c r="I2" s="32"/>
      <c r="J2" s="32"/>
      <c r="K2" s="32"/>
      <c r="L2" s="32"/>
    </row>
    <row r="3" spans="1:12" ht="9" customHeight="1" x14ac:dyDescent="0.25">
      <c r="A3" s="706" t="s">
        <v>100</v>
      </c>
      <c r="B3" s="706"/>
      <c r="C3" s="6">
        <v>6000</v>
      </c>
      <c r="D3" s="7">
        <v>40</v>
      </c>
      <c r="E3" s="95">
        <f>C3*D3</f>
        <v>240000</v>
      </c>
      <c r="F3" s="7">
        <v>6</v>
      </c>
      <c r="G3" s="96">
        <f>E3*F3</f>
        <v>1440000</v>
      </c>
    </row>
    <row r="4" spans="1:12" ht="9" customHeight="1" x14ac:dyDescent="0.25">
      <c r="A4" s="97" t="s">
        <v>101</v>
      </c>
      <c r="B4" s="98"/>
      <c r="C4" s="6">
        <v>1800</v>
      </c>
      <c r="D4" s="7">
        <v>40</v>
      </c>
      <c r="E4" s="95">
        <f>C4*D4</f>
        <v>72000</v>
      </c>
      <c r="F4" s="7">
        <v>6</v>
      </c>
      <c r="G4" s="96">
        <f>E4*F4</f>
        <v>432000</v>
      </c>
    </row>
    <row r="5" spans="1:12" ht="9" customHeight="1" x14ac:dyDescent="0.25">
      <c r="A5" s="97" t="s">
        <v>102</v>
      </c>
      <c r="B5" s="98"/>
      <c r="C5" s="6">
        <v>1200</v>
      </c>
      <c r="D5" s="7">
        <v>40</v>
      </c>
      <c r="E5" s="95">
        <f>C5*D5</f>
        <v>48000</v>
      </c>
      <c r="F5" s="7">
        <v>6</v>
      </c>
      <c r="G5" s="96">
        <f>E5*F5</f>
        <v>288000</v>
      </c>
    </row>
    <row r="6" spans="1:12" ht="9" customHeight="1" x14ac:dyDescent="0.25">
      <c r="A6" s="97" t="s">
        <v>103</v>
      </c>
      <c r="B6" s="98"/>
      <c r="C6" s="6">
        <v>600</v>
      </c>
      <c r="D6" s="7">
        <v>40</v>
      </c>
      <c r="E6" s="95">
        <f>C6*D6</f>
        <v>24000</v>
      </c>
      <c r="F6" s="7">
        <v>6</v>
      </c>
      <c r="G6" s="96">
        <f>E6*F6</f>
        <v>144000</v>
      </c>
    </row>
    <row r="7" spans="1:12" ht="9" customHeight="1" x14ac:dyDescent="0.25">
      <c r="A7" s="97" t="s">
        <v>104</v>
      </c>
      <c r="B7" s="98"/>
      <c r="C7" s="6">
        <v>3000</v>
      </c>
      <c r="D7" s="7">
        <v>40</v>
      </c>
      <c r="E7" s="95">
        <f>C7*D7</f>
        <v>120000</v>
      </c>
      <c r="F7" s="7">
        <v>6</v>
      </c>
      <c r="G7" s="96">
        <f>E7*F7</f>
        <v>720000</v>
      </c>
    </row>
    <row r="8" spans="1:12" ht="9" customHeight="1" x14ac:dyDescent="0.25">
      <c r="A8" s="706" t="s">
        <v>8</v>
      </c>
      <c r="B8" s="706"/>
      <c r="C8" s="6"/>
      <c r="D8" s="6"/>
      <c r="E8" s="95">
        <f>SUM(E3:E7)</f>
        <v>504000</v>
      </c>
      <c r="F8" s="95"/>
      <c r="G8" s="95">
        <f>SUM(G3:G7)</f>
        <v>3024000</v>
      </c>
    </row>
    <row r="9" spans="1:12" ht="9" customHeight="1" x14ac:dyDescent="0.25">
      <c r="A9" s="9"/>
      <c r="B9" s="9"/>
      <c r="C9" s="10"/>
      <c r="D9" s="10"/>
      <c r="E9" s="10"/>
      <c r="F9" s="10"/>
      <c r="G9" s="10"/>
    </row>
    <row r="10" spans="1:12" s="100" customFormat="1" ht="9" customHeight="1" x14ac:dyDescent="0.25">
      <c r="A10" s="5"/>
      <c r="B10" s="5" t="s">
        <v>9</v>
      </c>
      <c r="C10" s="13" t="s">
        <v>10</v>
      </c>
      <c r="D10" s="12" t="s">
        <v>11</v>
      </c>
      <c r="E10" s="99"/>
      <c r="F10" s="99"/>
      <c r="G10" s="99"/>
      <c r="H10" s="70"/>
      <c r="I10" s="70"/>
      <c r="J10" s="70"/>
      <c r="K10" s="70"/>
      <c r="L10" s="70"/>
    </row>
    <row r="11" spans="1:12" ht="9" customHeight="1" x14ac:dyDescent="0.25">
      <c r="A11" s="11" t="s">
        <v>12</v>
      </c>
      <c r="B11" s="11"/>
      <c r="C11" s="13" t="s">
        <v>13</v>
      </c>
      <c r="D11" s="13" t="s">
        <v>13</v>
      </c>
      <c r="E11" s="10"/>
      <c r="F11" s="10"/>
      <c r="G11" s="101"/>
    </row>
    <row r="12" spans="1:12" ht="9" customHeight="1" x14ac:dyDescent="0.25">
      <c r="A12" s="11" t="s">
        <v>54</v>
      </c>
      <c r="B12" s="14" t="s">
        <v>87</v>
      </c>
      <c r="C12" s="6">
        <v>11300</v>
      </c>
      <c r="D12" s="6">
        <v>11300</v>
      </c>
      <c r="E12" s="10"/>
      <c r="F12" s="10"/>
      <c r="G12" s="10"/>
    </row>
    <row r="13" spans="1:12" ht="9" customHeight="1" x14ac:dyDescent="0.25">
      <c r="A13" s="11" t="s">
        <v>15</v>
      </c>
      <c r="B13" s="5"/>
      <c r="C13" s="6">
        <v>6000</v>
      </c>
      <c r="D13" s="6">
        <v>6000</v>
      </c>
      <c r="E13" s="10"/>
      <c r="F13" s="10"/>
      <c r="G13" s="10"/>
    </row>
    <row r="14" spans="1:12" ht="9" customHeight="1" x14ac:dyDescent="0.25">
      <c r="A14" s="11" t="s">
        <v>105</v>
      </c>
      <c r="B14" s="14">
        <v>0</v>
      </c>
      <c r="C14" s="6">
        <v>0</v>
      </c>
      <c r="D14" s="6">
        <f>(E8+D12)*B14</f>
        <v>0</v>
      </c>
      <c r="E14" s="10"/>
      <c r="F14" s="10"/>
      <c r="G14" s="10"/>
    </row>
    <row r="15" spans="1:12" ht="9" customHeight="1" x14ac:dyDescent="0.25">
      <c r="A15" s="11" t="s">
        <v>17</v>
      </c>
      <c r="B15" s="5"/>
      <c r="C15" s="6">
        <f>SUM(C12:C14)</f>
        <v>17300</v>
      </c>
      <c r="D15" s="6">
        <f>SUM(D12:D14)</f>
        <v>17300</v>
      </c>
      <c r="E15" s="10"/>
      <c r="F15" s="10"/>
      <c r="G15" s="10"/>
    </row>
    <row r="16" spans="1:12" ht="9" customHeight="1" x14ac:dyDescent="0.25">
      <c r="A16" s="11"/>
      <c r="B16" s="5"/>
      <c r="C16" s="6"/>
      <c r="D16" s="6"/>
      <c r="E16" s="10"/>
      <c r="F16" s="10"/>
      <c r="G16" s="10"/>
    </row>
    <row r="17" spans="1:12" ht="9" customHeight="1" x14ac:dyDescent="0.25">
      <c r="A17" s="11" t="s">
        <v>18</v>
      </c>
      <c r="B17" s="5"/>
      <c r="C17" s="12" t="s">
        <v>13</v>
      </c>
      <c r="D17" s="6"/>
      <c r="E17" s="10"/>
      <c r="F17" s="10"/>
      <c r="G17" s="10"/>
    </row>
    <row r="18" spans="1:12" ht="9" customHeight="1" x14ac:dyDescent="0.25">
      <c r="A18" s="11" t="s">
        <v>19</v>
      </c>
      <c r="B18" s="15">
        <v>6.4999999999999997E-3</v>
      </c>
      <c r="C18" s="6">
        <f>(E8+C15)*B18</f>
        <v>3388.45</v>
      </c>
      <c r="D18" s="6">
        <f>B18*C26</f>
        <v>3516.8137000518936</v>
      </c>
      <c r="E18" s="10"/>
      <c r="F18" s="10"/>
      <c r="G18" s="10"/>
    </row>
    <row r="19" spans="1:12" ht="9" customHeight="1" x14ac:dyDescent="0.25">
      <c r="A19" s="11" t="s">
        <v>20</v>
      </c>
      <c r="B19" s="14">
        <v>0.03</v>
      </c>
      <c r="C19" s="6">
        <f>(E8+C15)*B19</f>
        <v>15639</v>
      </c>
      <c r="D19" s="6">
        <f>B19*C26</f>
        <v>16231.447846393356</v>
      </c>
      <c r="E19" s="10"/>
      <c r="F19" s="10"/>
      <c r="G19" s="10"/>
    </row>
    <row r="20" spans="1:12" ht="9" customHeight="1" x14ac:dyDescent="0.25">
      <c r="A20" s="11" t="s">
        <v>21</v>
      </c>
      <c r="B20" s="14">
        <v>0</v>
      </c>
      <c r="C20" s="6">
        <f>(E8+C15)*B20</f>
        <v>0</v>
      </c>
      <c r="D20" s="6">
        <f>B20*C26</f>
        <v>0</v>
      </c>
      <c r="E20" s="10"/>
      <c r="F20" s="10"/>
      <c r="G20" s="10"/>
    </row>
    <row r="21" spans="1:12" ht="9" customHeight="1" x14ac:dyDescent="0.25">
      <c r="A21" s="11"/>
      <c r="B21" s="15">
        <f>SUM(B18:B20)</f>
        <v>3.6499999999999998E-2</v>
      </c>
      <c r="C21" s="6">
        <f>SUM(C18:C20)</f>
        <v>19027.45</v>
      </c>
      <c r="D21" s="6">
        <f>SUM(D18:D20)</f>
        <v>19748.26154644525</v>
      </c>
      <c r="E21" s="10"/>
      <c r="F21" s="10"/>
      <c r="G21" s="10"/>
    </row>
    <row r="22" spans="1:12" ht="9" customHeight="1" x14ac:dyDescent="0.25">
      <c r="A22" s="11" t="s">
        <v>56</v>
      </c>
      <c r="B22" s="15">
        <v>0.09</v>
      </c>
      <c r="C22" s="6">
        <v>15013</v>
      </c>
      <c r="D22" s="6"/>
      <c r="E22" s="10"/>
      <c r="F22" s="10"/>
      <c r="G22" s="10"/>
    </row>
    <row r="23" spans="1:12" ht="9" customHeight="1" x14ac:dyDescent="0.25">
      <c r="A23" s="11" t="s">
        <v>57</v>
      </c>
      <c r="B23" s="15" t="s">
        <v>96</v>
      </c>
      <c r="C23" s="6">
        <v>39704</v>
      </c>
      <c r="D23" s="6"/>
      <c r="E23" s="10"/>
      <c r="F23" s="10"/>
      <c r="G23" s="10"/>
    </row>
    <row r="24" spans="1:12" ht="9" customHeight="1" x14ac:dyDescent="0.25">
      <c r="A24" s="11"/>
      <c r="B24" s="11"/>
      <c r="C24" s="6">
        <f>SUM(C22:C23)</f>
        <v>54717</v>
      </c>
      <c r="D24" s="6"/>
      <c r="E24" s="10"/>
      <c r="F24" s="10"/>
      <c r="G24" s="10"/>
    </row>
    <row r="25" spans="1:12" ht="9" hidden="1" customHeight="1" x14ac:dyDescent="0.25">
      <c r="A25" s="707" t="s">
        <v>22</v>
      </c>
      <c r="B25" s="707"/>
      <c r="C25" s="102">
        <f>E8+D15</f>
        <v>521300</v>
      </c>
      <c r="D25" s="10"/>
      <c r="E25" s="10"/>
      <c r="F25" s="10"/>
      <c r="G25" s="10"/>
    </row>
    <row r="26" spans="1:12" ht="9" hidden="1" customHeight="1" x14ac:dyDescent="0.25">
      <c r="A26" s="705" t="s">
        <v>60</v>
      </c>
      <c r="B26" s="705"/>
      <c r="C26" s="6">
        <f>C25/(1-B21)</f>
        <v>541048.2615464452</v>
      </c>
      <c r="D26" s="10"/>
      <c r="E26" s="10"/>
      <c r="F26" s="10"/>
      <c r="G26" s="10"/>
    </row>
    <row r="27" spans="1:12" s="22" customFormat="1" ht="9" customHeight="1" x14ac:dyDescent="0.25">
      <c r="A27" s="687" t="s">
        <v>24</v>
      </c>
      <c r="B27" s="687"/>
      <c r="C27" s="12" t="s">
        <v>10</v>
      </c>
      <c r="D27" s="12" t="s">
        <v>86</v>
      </c>
      <c r="E27" s="12" t="s">
        <v>25</v>
      </c>
      <c r="F27" s="20"/>
      <c r="G27" s="20"/>
      <c r="H27" s="21"/>
      <c r="I27" s="21"/>
      <c r="J27" s="21"/>
      <c r="K27" s="21"/>
      <c r="L27" s="21"/>
    </row>
    <row r="28" spans="1:12" ht="9" customHeight="1" x14ac:dyDescent="0.25">
      <c r="A28" s="687" t="s">
        <v>26</v>
      </c>
      <c r="B28" s="687"/>
      <c r="C28" s="6">
        <f>E8+C15+C21+C22+C23</f>
        <v>595044.44999999995</v>
      </c>
      <c r="D28" s="6">
        <f>E8+D15+D21</f>
        <v>541048.2615464452</v>
      </c>
      <c r="E28" s="6">
        <f>C28-D28</f>
        <v>53996.188453554758</v>
      </c>
      <c r="F28" s="10"/>
      <c r="G28" s="10"/>
    </row>
    <row r="29" spans="1:12" ht="9" customHeight="1" x14ac:dyDescent="0.25">
      <c r="A29" s="687" t="s">
        <v>27</v>
      </c>
      <c r="B29" s="687"/>
      <c r="C29" s="6">
        <f>C28*6</f>
        <v>3570266.6999999997</v>
      </c>
      <c r="D29" s="6">
        <f>D28*6</f>
        <v>3246289.5692786714</v>
      </c>
      <c r="E29" s="6">
        <f>C29-D29</f>
        <v>323977.13072132831</v>
      </c>
      <c r="F29" s="10"/>
      <c r="G29" s="10"/>
    </row>
  </sheetData>
  <mergeCells count="9">
    <mergeCell ref="A26:B26"/>
    <mergeCell ref="A27:B27"/>
    <mergeCell ref="A28:B28"/>
    <mergeCell ref="A29:B29"/>
    <mergeCell ref="A1:G1"/>
    <mergeCell ref="A2:B2"/>
    <mergeCell ref="A3:B3"/>
    <mergeCell ref="A8:B8"/>
    <mergeCell ref="A25:B25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M37"/>
  <sheetViews>
    <sheetView topLeftCell="C1" zoomScale="140" zoomScaleNormal="140" workbookViewId="0">
      <selection activeCell="I17" sqref="I17"/>
    </sheetView>
  </sheetViews>
  <sheetFormatPr defaultColWidth="8.7109375" defaultRowHeight="15" x14ac:dyDescent="0.25"/>
  <cols>
    <col min="1" max="1" width="23.140625" style="100" customWidth="1"/>
    <col min="2" max="2" width="10" style="100" customWidth="1"/>
    <col min="3" max="3" width="7.28515625" style="100" customWidth="1"/>
    <col min="4" max="4" width="12" customWidth="1"/>
    <col min="5" max="5" width="10" customWidth="1"/>
    <col min="6" max="6" width="12.85546875" customWidth="1"/>
    <col min="7" max="7" width="15" style="1" customWidth="1"/>
    <col min="8" max="8" width="17.7109375" style="1" customWidth="1"/>
    <col min="9" max="9" width="17" style="1" customWidth="1"/>
    <col min="10" max="10" width="17.7109375" style="1" customWidth="1"/>
    <col min="11" max="11" width="15.5703125" customWidth="1"/>
    <col min="12" max="12" width="13.85546875" customWidth="1"/>
    <col min="13" max="13" width="13.28515625" customWidth="1"/>
  </cols>
  <sheetData>
    <row r="1" spans="1:13" ht="39" customHeight="1" x14ac:dyDescent="0.25">
      <c r="A1" s="103" t="s">
        <v>106</v>
      </c>
      <c r="B1" s="103" t="s">
        <v>107</v>
      </c>
      <c r="C1" s="103" t="s">
        <v>108</v>
      </c>
      <c r="D1" s="103" t="s">
        <v>109</v>
      </c>
      <c r="E1" s="103" t="s">
        <v>110</v>
      </c>
      <c r="F1" s="103" t="s">
        <v>111</v>
      </c>
    </row>
    <row r="2" spans="1:13" ht="12" customHeight="1" x14ac:dyDescent="0.25">
      <c r="A2" s="104" t="s">
        <v>112</v>
      </c>
      <c r="B2" s="105"/>
      <c r="C2" s="105"/>
      <c r="D2" s="105"/>
      <c r="E2" s="105"/>
      <c r="F2" s="105"/>
    </row>
    <row r="3" spans="1:13" ht="12" customHeight="1" x14ac:dyDescent="0.25">
      <c r="A3" s="106" t="s">
        <v>113</v>
      </c>
      <c r="B3" s="107">
        <v>24</v>
      </c>
      <c r="C3" s="107">
        <v>5</v>
      </c>
      <c r="D3" s="108">
        <v>540</v>
      </c>
      <c r="E3" s="108">
        <v>135.19999999999999</v>
      </c>
      <c r="F3" s="108">
        <f>D3*E3</f>
        <v>73008</v>
      </c>
      <c r="K3">
        <f>B3*22</f>
        <v>528</v>
      </c>
    </row>
    <row r="4" spans="1:13" ht="12" customHeight="1" x14ac:dyDescent="0.25">
      <c r="A4" s="106" t="s">
        <v>114</v>
      </c>
      <c r="B4" s="107">
        <v>24</v>
      </c>
      <c r="C4" s="107">
        <v>2</v>
      </c>
      <c r="D4" s="108">
        <v>216</v>
      </c>
      <c r="E4" s="108">
        <v>135.19999999999999</v>
      </c>
      <c r="F4" s="108">
        <f>D4*E4</f>
        <v>29203.199999999997</v>
      </c>
    </row>
    <row r="5" spans="1:13" ht="12" customHeight="1" x14ac:dyDescent="0.25">
      <c r="A5" s="106" t="s">
        <v>115</v>
      </c>
      <c r="B5" s="107">
        <v>30</v>
      </c>
      <c r="C5" s="107">
        <v>2</v>
      </c>
      <c r="D5" s="108">
        <v>270</v>
      </c>
      <c r="E5" s="108">
        <v>135.19999999999999</v>
      </c>
      <c r="F5" s="108">
        <f>D5*E5</f>
        <v>36504</v>
      </c>
    </row>
    <row r="6" spans="1:13" ht="12" customHeight="1" x14ac:dyDescent="0.25">
      <c r="A6" s="109" t="s">
        <v>116</v>
      </c>
      <c r="B6" s="107"/>
      <c r="C6" s="107"/>
      <c r="D6" s="108"/>
      <c r="E6" s="108"/>
      <c r="F6" s="108"/>
    </row>
    <row r="7" spans="1:13" ht="12" customHeight="1" x14ac:dyDescent="0.25">
      <c r="A7" s="106" t="s">
        <v>117</v>
      </c>
      <c r="B7" s="107">
        <v>30</v>
      </c>
      <c r="C7" s="107">
        <v>2</v>
      </c>
      <c r="D7" s="108">
        <v>270</v>
      </c>
      <c r="E7" s="108">
        <v>135.19999999999999</v>
      </c>
      <c r="F7" s="108">
        <f>D7*E7</f>
        <v>36504</v>
      </c>
    </row>
    <row r="8" spans="1:13" ht="12" customHeight="1" x14ac:dyDescent="0.25">
      <c r="A8" s="106" t="s">
        <v>118</v>
      </c>
      <c r="B8" s="107">
        <v>20</v>
      </c>
      <c r="C8" s="107">
        <v>1</v>
      </c>
      <c r="D8" s="108">
        <v>90</v>
      </c>
      <c r="E8" s="108">
        <v>135.19999999999999</v>
      </c>
      <c r="F8" s="108">
        <f>D8*E8</f>
        <v>12167.999999999998</v>
      </c>
    </row>
    <row r="9" spans="1:13" ht="12" customHeight="1" x14ac:dyDescent="0.25">
      <c r="A9" s="106" t="s">
        <v>53</v>
      </c>
      <c r="B9" s="107"/>
      <c r="C9" s="107"/>
      <c r="D9" s="108"/>
      <c r="E9" s="108"/>
      <c r="F9" s="110">
        <f>SUM(F3:F8)</f>
        <v>187387.2</v>
      </c>
    </row>
    <row r="10" spans="1:13" x14ac:dyDescent="0.25">
      <c r="A10" s="111"/>
      <c r="D10" s="1"/>
      <c r="E10" s="1"/>
      <c r="F10" s="1"/>
    </row>
    <row r="11" spans="1:13" ht="12" customHeight="1" x14ac:dyDescent="0.25">
      <c r="F11" s="1"/>
    </row>
    <row r="12" spans="1:13" ht="12" customHeight="1" x14ac:dyDescent="0.25">
      <c r="G12" s="112"/>
      <c r="H12" s="113"/>
      <c r="I12" s="114" t="s">
        <v>86</v>
      </c>
      <c r="J12" s="115" t="s">
        <v>119</v>
      </c>
      <c r="K12" s="116"/>
      <c r="L12" s="1"/>
      <c r="M12" s="1"/>
    </row>
    <row r="13" spans="1:13" ht="15" customHeight="1" x14ac:dyDescent="0.25">
      <c r="G13" s="117" t="s">
        <v>120</v>
      </c>
      <c r="H13" s="118"/>
      <c r="I13" s="119">
        <f>F9</f>
        <v>187387.2</v>
      </c>
      <c r="J13" s="120">
        <v>2457888</v>
      </c>
      <c r="K13" s="115" t="s">
        <v>121</v>
      </c>
      <c r="L13" s="1"/>
      <c r="M13" s="1"/>
    </row>
    <row r="14" spans="1:13" ht="12" customHeight="1" x14ac:dyDescent="0.25">
      <c r="G14" s="121"/>
      <c r="H14" s="122"/>
      <c r="I14" s="123"/>
      <c r="J14" s="124"/>
      <c r="K14" s="125"/>
      <c r="L14" s="1"/>
      <c r="M14" s="1"/>
    </row>
    <row r="15" spans="1:13" ht="12" customHeight="1" x14ac:dyDescent="0.25">
      <c r="G15" s="126" t="s">
        <v>122</v>
      </c>
      <c r="H15" s="127" t="s">
        <v>123</v>
      </c>
      <c r="I15" s="128" t="s">
        <v>124</v>
      </c>
      <c r="J15" s="129" t="s">
        <v>124</v>
      </c>
      <c r="K15" s="130" t="s">
        <v>125</v>
      </c>
      <c r="L15" s="1"/>
      <c r="M15" s="1"/>
    </row>
    <row r="16" spans="1:13" ht="12" customHeight="1" x14ac:dyDescent="0.25">
      <c r="G16" s="131" t="s">
        <v>126</v>
      </c>
      <c r="H16" s="132">
        <v>6.4999999999999997E-3</v>
      </c>
      <c r="I16" s="133">
        <f>F33*H16</f>
        <v>1333.3516949999998</v>
      </c>
      <c r="J16" s="134">
        <v>0</v>
      </c>
      <c r="K16" s="135">
        <f t="shared" ref="K16:K21" si="0">J16-I16</f>
        <v>-1333.3516949999998</v>
      </c>
      <c r="L16" s="1">
        <f>J16-I16</f>
        <v>-1333.3516949999998</v>
      </c>
      <c r="M16" s="1">
        <f>J16/H16</f>
        <v>0</v>
      </c>
    </row>
    <row r="17" spans="6:13" ht="12" customHeight="1" x14ac:dyDescent="0.25">
      <c r="G17" s="131" t="s">
        <v>127</v>
      </c>
      <c r="H17" s="132">
        <v>0.03</v>
      </c>
      <c r="I17" s="133">
        <f>F33*H17</f>
        <v>6153.9308999999994</v>
      </c>
      <c r="J17" s="134">
        <v>0</v>
      </c>
      <c r="K17" s="135">
        <f t="shared" si="0"/>
        <v>-6153.9308999999994</v>
      </c>
      <c r="L17" s="1">
        <f>J17-I17</f>
        <v>-6153.9308999999994</v>
      </c>
      <c r="M17" s="1">
        <f>J17/H17</f>
        <v>0</v>
      </c>
    </row>
    <row r="18" spans="6:13" ht="12" customHeight="1" x14ac:dyDescent="0.25">
      <c r="G18" s="131" t="s">
        <v>128</v>
      </c>
      <c r="H18" s="132">
        <v>0.05</v>
      </c>
      <c r="I18" s="133">
        <f>F33*H18</f>
        <v>10256.551500000001</v>
      </c>
      <c r="J18" s="134">
        <v>0</v>
      </c>
      <c r="K18" s="135">
        <f t="shared" si="0"/>
        <v>-10256.551500000001</v>
      </c>
      <c r="L18" s="1">
        <f>J18-I18</f>
        <v>-10256.551500000001</v>
      </c>
      <c r="M18" s="1">
        <f>J18/H18</f>
        <v>0</v>
      </c>
    </row>
    <row r="19" spans="6:13" ht="12" customHeight="1" x14ac:dyDescent="0.25">
      <c r="G19" s="136" t="s">
        <v>129</v>
      </c>
      <c r="H19" s="137">
        <f>SUM(H16:H18)</f>
        <v>8.6499999999999994E-2</v>
      </c>
      <c r="I19" s="138">
        <f>SUM(I16:I18)</f>
        <v>17743.834094999998</v>
      </c>
      <c r="J19" s="139">
        <v>0</v>
      </c>
      <c r="K19" s="135">
        <f t="shared" si="0"/>
        <v>-17743.834094999998</v>
      </c>
      <c r="L19" s="1"/>
      <c r="M19" s="1"/>
    </row>
    <row r="20" spans="6:13" ht="12" customHeight="1" x14ac:dyDescent="0.25">
      <c r="G20" s="140" t="s">
        <v>130</v>
      </c>
      <c r="H20" s="141"/>
      <c r="I20" s="133">
        <v>0</v>
      </c>
      <c r="J20" s="142">
        <v>0</v>
      </c>
      <c r="K20" s="135">
        <f t="shared" si="0"/>
        <v>0</v>
      </c>
      <c r="L20" s="1"/>
      <c r="M20" s="1"/>
    </row>
    <row r="21" spans="6:13" ht="12" customHeight="1" x14ac:dyDescent="0.25">
      <c r="G21" s="143" t="s">
        <v>129</v>
      </c>
      <c r="H21" s="144"/>
      <c r="I21" s="138">
        <f>I13+I19</f>
        <v>205131.03409500001</v>
      </c>
      <c r="J21" s="142">
        <f>J13+J19+J20</f>
        <v>2457888</v>
      </c>
      <c r="K21" s="145">
        <f t="shared" si="0"/>
        <v>2252756.965905</v>
      </c>
      <c r="L21" s="74">
        <f>J21-I21</f>
        <v>2252756.965905</v>
      </c>
      <c r="M21" s="1">
        <f>L21*J22</f>
        <v>0</v>
      </c>
    </row>
    <row r="22" spans="6:13" ht="12" customHeight="1" x14ac:dyDescent="0.25">
      <c r="G22" s="143" t="s">
        <v>131</v>
      </c>
      <c r="H22" s="144"/>
      <c r="I22" s="146">
        <v>6</v>
      </c>
      <c r="J22" s="147">
        <v>0</v>
      </c>
      <c r="K22" s="148">
        <v>6</v>
      </c>
      <c r="L22" s="1">
        <v>6</v>
      </c>
      <c r="M22" s="1"/>
    </row>
    <row r="23" spans="6:13" x14ac:dyDescent="0.25">
      <c r="G23" s="149" t="s">
        <v>53</v>
      </c>
      <c r="H23" s="150"/>
      <c r="I23" s="151">
        <f>I21*I22</f>
        <v>1230786.2045700001</v>
      </c>
      <c r="J23" s="152">
        <f>J21*J22</f>
        <v>0</v>
      </c>
      <c r="K23" s="153">
        <f>J23-I23</f>
        <v>-1230786.2045700001</v>
      </c>
      <c r="L23" s="154">
        <f>J23-I23</f>
        <v>-1230786.2045700001</v>
      </c>
      <c r="M23" s="1"/>
    </row>
    <row r="24" spans="6:13" x14ac:dyDescent="0.25">
      <c r="H24" s="155"/>
      <c r="I24" s="156"/>
      <c r="K24" s="1"/>
      <c r="L24" s="1">
        <f>L21*L22</f>
        <v>13516541.795430001</v>
      </c>
      <c r="M24" s="1"/>
    </row>
    <row r="25" spans="6:13" x14ac:dyDescent="0.25">
      <c r="H25" s="155"/>
      <c r="I25" s="156"/>
      <c r="J25" s="1">
        <f>16449653.35-J23</f>
        <v>16449653.35</v>
      </c>
      <c r="K25" s="1"/>
      <c r="L25" s="1">
        <f>J25/6</f>
        <v>2741608.8916666666</v>
      </c>
      <c r="M25" s="1"/>
    </row>
    <row r="26" spans="6:13" x14ac:dyDescent="0.25">
      <c r="G26" s="1" t="s">
        <v>56</v>
      </c>
      <c r="H26" s="155">
        <v>2.8799999999999999E-2</v>
      </c>
      <c r="I26" s="1">
        <v>78958.34</v>
      </c>
      <c r="J26" s="1">
        <v>2741608.89</v>
      </c>
      <c r="K26" s="1">
        <f>K21*K22</f>
        <v>13516541.795430001</v>
      </c>
      <c r="L26" s="1">
        <f>SUM(L16:L18)</f>
        <v>-17743.834094999998</v>
      </c>
      <c r="M26" s="1">
        <f>J21</f>
        <v>2457888</v>
      </c>
    </row>
    <row r="27" spans="6:13" x14ac:dyDescent="0.25">
      <c r="G27" s="1" t="s">
        <v>57</v>
      </c>
      <c r="H27" s="157">
        <v>0.08</v>
      </c>
      <c r="I27" s="1">
        <v>219328.71</v>
      </c>
      <c r="J27" s="1">
        <f>J26-J21</f>
        <v>283720.89000000013</v>
      </c>
      <c r="K27" s="1"/>
      <c r="L27" s="1"/>
      <c r="M27" s="1">
        <f>F9+J16+J17+J18</f>
        <v>187387.2</v>
      </c>
    </row>
    <row r="28" spans="6:13" x14ac:dyDescent="0.25">
      <c r="G28" s="1" t="s">
        <v>132</v>
      </c>
      <c r="H28" s="155">
        <v>0</v>
      </c>
      <c r="I28" s="1">
        <f>SUM(I15:I27)</f>
        <v>1769697.9568550002</v>
      </c>
      <c r="J28" s="1">
        <f>I16/H16</f>
        <v>205131.02999999997</v>
      </c>
      <c r="K28" s="1"/>
      <c r="L28" s="1"/>
      <c r="M28" s="1">
        <f>M26-M27</f>
        <v>2270500.7999999998</v>
      </c>
    </row>
    <row r="29" spans="6:13" x14ac:dyDescent="0.25">
      <c r="F29" s="1"/>
      <c r="G29" s="1" t="s">
        <v>133</v>
      </c>
      <c r="H29" s="155">
        <v>0</v>
      </c>
      <c r="I29" s="1">
        <v>0</v>
      </c>
      <c r="K29" s="1"/>
      <c r="L29" s="1"/>
      <c r="M29" s="1"/>
    </row>
    <row r="30" spans="6:13" x14ac:dyDescent="0.25">
      <c r="F30" s="1">
        <f>100%-8.65%</f>
        <v>0.91349999999999998</v>
      </c>
      <c r="I30" s="158">
        <v>2.8799999999999999E-2</v>
      </c>
      <c r="J30" s="158">
        <v>0.08</v>
      </c>
    </row>
    <row r="31" spans="6:13" x14ac:dyDescent="0.25">
      <c r="F31" s="1">
        <f>I13/F30</f>
        <v>205131.03448275864</v>
      </c>
      <c r="I31" s="1" t="e">
        <f>#REF!/I30</f>
        <v>#REF!</v>
      </c>
      <c r="J31" s="1" t="e">
        <f>#REF!/J30</f>
        <v>#REF!</v>
      </c>
    </row>
    <row r="33" spans="1:9" x14ac:dyDescent="0.25">
      <c r="F33" s="1">
        <f>TRUNC(I13/(1-H19),2)</f>
        <v>205131.03</v>
      </c>
      <c r="I33" s="1" t="e">
        <f>I31-F33</f>
        <v>#REF!</v>
      </c>
    </row>
    <row r="34" spans="1:9" x14ac:dyDescent="0.25">
      <c r="F34" s="156" t="e">
        <f>I31-F33</f>
        <v>#REF!</v>
      </c>
    </row>
    <row r="35" spans="1:9" x14ac:dyDescent="0.25">
      <c r="F35">
        <v>6</v>
      </c>
    </row>
    <row r="36" spans="1:9" x14ac:dyDescent="0.25">
      <c r="F36" s="159" t="e">
        <f>F34*F35</f>
        <v>#REF!</v>
      </c>
    </row>
    <row r="37" spans="1:9" ht="39.75" customHeight="1" x14ac:dyDescent="0.25">
      <c r="A37" s="708" t="s">
        <v>134</v>
      </c>
      <c r="B37" s="708"/>
      <c r="C37" s="160"/>
    </row>
  </sheetData>
  <mergeCells count="1">
    <mergeCell ref="A37:B37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AMJ59"/>
  <sheetViews>
    <sheetView zoomScale="140" zoomScaleNormal="140" workbookViewId="0">
      <selection activeCell="F54" sqref="F54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2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7" t="s">
        <v>135</v>
      </c>
      <c r="B9" s="697"/>
      <c r="C9" s="35"/>
      <c r="D9" s="36">
        <v>361</v>
      </c>
      <c r="E9" s="37">
        <v>101.92</v>
      </c>
      <c r="F9" s="37">
        <f>D9*E9-0.35</f>
        <v>36792.770000000004</v>
      </c>
      <c r="G9" s="36">
        <v>7</v>
      </c>
      <c r="H9" s="32">
        <v>36792.769999999997</v>
      </c>
      <c r="I9" s="161">
        <f t="shared" ref="I9:I18" si="0">H9-F9</f>
        <v>0</v>
      </c>
      <c r="J9" s="32"/>
      <c r="K9" s="32"/>
    </row>
    <row r="10" spans="1:11" s="33" customFormat="1" ht="14.1" customHeight="1" x14ac:dyDescent="0.25">
      <c r="A10" s="697" t="s">
        <v>136</v>
      </c>
      <c r="B10" s="697"/>
      <c r="C10" s="35"/>
      <c r="D10" s="36">
        <v>722</v>
      </c>
      <c r="E10" s="37">
        <v>101.92</v>
      </c>
      <c r="F10" s="37">
        <f>D10*E10-0.7</f>
        <v>73585.540000000008</v>
      </c>
      <c r="G10" s="36">
        <v>7</v>
      </c>
      <c r="H10" s="32">
        <v>73585.539999999994</v>
      </c>
      <c r="I10" s="161">
        <f t="shared" si="0"/>
        <v>0</v>
      </c>
      <c r="J10" s="32"/>
      <c r="K10" s="32"/>
    </row>
    <row r="11" spans="1:11" s="33" customFormat="1" ht="14.1" customHeight="1" x14ac:dyDescent="0.25">
      <c r="A11" s="697" t="s">
        <v>137</v>
      </c>
      <c r="B11" s="697"/>
      <c r="C11" s="35"/>
      <c r="D11" s="36">
        <v>361</v>
      </c>
      <c r="E11" s="37">
        <v>101.92</v>
      </c>
      <c r="F11" s="37">
        <f>D11*E11-0.35</f>
        <v>36792.770000000004</v>
      </c>
      <c r="G11" s="36">
        <v>7</v>
      </c>
      <c r="H11" s="32">
        <v>36792.769999999997</v>
      </c>
      <c r="I11" s="161">
        <f t="shared" si="0"/>
        <v>0</v>
      </c>
      <c r="J11" s="32"/>
      <c r="K11" s="32"/>
    </row>
    <row r="12" spans="1:11" s="33" customFormat="1" ht="14.1" customHeight="1" x14ac:dyDescent="0.25">
      <c r="A12" s="697" t="s">
        <v>138</v>
      </c>
      <c r="B12" s="697"/>
      <c r="C12" s="35"/>
      <c r="D12" s="36">
        <v>129</v>
      </c>
      <c r="E12" s="37">
        <v>101.92</v>
      </c>
      <c r="F12" s="37">
        <f>D12*E12-0.12</f>
        <v>13147.56</v>
      </c>
      <c r="G12" s="36">
        <v>5</v>
      </c>
      <c r="H12" s="32">
        <v>13147.56</v>
      </c>
      <c r="I12" s="161">
        <f t="shared" si="0"/>
        <v>0</v>
      </c>
      <c r="J12" s="32"/>
      <c r="K12" s="32"/>
    </row>
    <row r="13" spans="1:11" s="33" customFormat="1" ht="14.1" customHeight="1" x14ac:dyDescent="0.25">
      <c r="A13" s="34" t="s">
        <v>139</v>
      </c>
      <c r="B13" s="42"/>
      <c r="C13" s="35"/>
      <c r="D13" s="36">
        <v>129</v>
      </c>
      <c r="E13" s="37">
        <v>101.92</v>
      </c>
      <c r="F13" s="37">
        <f>D13*E13-0.12</f>
        <v>13147.56</v>
      </c>
      <c r="G13" s="36">
        <v>5</v>
      </c>
      <c r="H13" s="32">
        <v>13147.56</v>
      </c>
      <c r="I13" s="161">
        <f t="shared" si="0"/>
        <v>0</v>
      </c>
      <c r="J13" s="32"/>
      <c r="K13" s="32"/>
    </row>
    <row r="14" spans="1:11" s="33" customFormat="1" ht="14.1" customHeight="1" x14ac:dyDescent="0.25">
      <c r="A14" s="696" t="s">
        <v>72</v>
      </c>
      <c r="B14" s="696"/>
      <c r="C14" s="38"/>
      <c r="D14" s="30">
        <f>SUM(D9:D13)</f>
        <v>1702</v>
      </c>
      <c r="E14" s="29"/>
      <c r="F14" s="29">
        <f>SUM(F9:F13)</f>
        <v>173466.2</v>
      </c>
      <c r="G14" s="36">
        <f>SUM(G9:G13)</f>
        <v>31</v>
      </c>
      <c r="H14" s="32"/>
      <c r="I14" s="161">
        <f t="shared" si="0"/>
        <v>-173466.2</v>
      </c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161">
        <f t="shared" si="0"/>
        <v>0</v>
      </c>
      <c r="J15" s="32"/>
      <c r="K15" s="32"/>
    </row>
    <row r="16" spans="1:11" s="33" customFormat="1" ht="14.1" customHeight="1" x14ac:dyDescent="0.25">
      <c r="A16" s="697" t="s">
        <v>140</v>
      </c>
      <c r="B16" s="697"/>
      <c r="C16" s="35"/>
      <c r="D16" s="36">
        <v>722</v>
      </c>
      <c r="E16" s="37">
        <v>101.92</v>
      </c>
      <c r="F16" s="37">
        <f>D16*E16-0.7</f>
        <v>73585.540000000008</v>
      </c>
      <c r="G16" s="36">
        <v>14</v>
      </c>
      <c r="H16" s="32">
        <v>73585.539999999994</v>
      </c>
      <c r="I16" s="161">
        <f t="shared" si="0"/>
        <v>0</v>
      </c>
      <c r="J16" s="32"/>
      <c r="K16" s="32"/>
    </row>
    <row r="17" spans="1:11" s="33" customFormat="1" ht="14.1" customHeight="1" x14ac:dyDescent="0.25">
      <c r="A17" s="697" t="s">
        <v>141</v>
      </c>
      <c r="B17" s="697"/>
      <c r="C17" s="35"/>
      <c r="D17" s="36">
        <v>1445</v>
      </c>
      <c r="E17" s="37">
        <v>101.92</v>
      </c>
      <c r="F17" s="37">
        <f>D17*E17-1.4</f>
        <v>147273</v>
      </c>
      <c r="G17" s="36">
        <v>14</v>
      </c>
      <c r="H17" s="32">
        <v>147273</v>
      </c>
      <c r="I17" s="161">
        <f t="shared" si="0"/>
        <v>0</v>
      </c>
      <c r="J17" s="32"/>
      <c r="K17" s="32"/>
    </row>
    <row r="18" spans="1:11" s="33" customFormat="1" ht="14.1" customHeight="1" x14ac:dyDescent="0.25">
      <c r="A18" s="697" t="s">
        <v>139</v>
      </c>
      <c r="B18" s="697"/>
      <c r="C18" s="35"/>
      <c r="D18" s="36">
        <v>129</v>
      </c>
      <c r="E18" s="37">
        <v>101.92</v>
      </c>
      <c r="F18" s="37">
        <f>D18*E18-0.12</f>
        <v>13147.56</v>
      </c>
      <c r="G18" s="36">
        <v>5</v>
      </c>
      <c r="H18" s="32">
        <v>13147.56</v>
      </c>
      <c r="I18" s="161">
        <f t="shared" si="0"/>
        <v>0</v>
      </c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6"/>
      <c r="E19" s="37">
        <v>101.92</v>
      </c>
      <c r="F19" s="37">
        <f>D19*E19</f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6"/>
      <c r="E20" s="37"/>
      <c r="F20" s="37">
        <f>D20*E20</f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6"/>
      <c r="E21" s="37"/>
      <c r="F21" s="37">
        <f>D21*E21</f>
        <v>0</v>
      </c>
      <c r="G21" s="36"/>
      <c r="H21" s="32"/>
      <c r="I21" s="32"/>
      <c r="J21" s="32"/>
      <c r="K21" s="32"/>
    </row>
    <row r="22" spans="1:11" s="33" customFormat="1" ht="14.1" hidden="1" customHeight="1" x14ac:dyDescent="0.25">
      <c r="A22" s="696" t="s">
        <v>74</v>
      </c>
      <c r="B22" s="696"/>
      <c r="C22" s="30">
        <f>SUM(C16:C21)</f>
        <v>0</v>
      </c>
      <c r="D22" s="30">
        <f>SUM(D16:D21)</f>
        <v>2296</v>
      </c>
      <c r="E22" s="29"/>
      <c r="F22" s="29">
        <f>SUM(F16:F21)</f>
        <v>234006.1</v>
      </c>
      <c r="G22" s="36">
        <f>SUM(G16:G21)</f>
        <v>33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3" t="s">
        <v>7</v>
      </c>
      <c r="B30" s="693"/>
      <c r="C30" s="46"/>
      <c r="D30" s="30">
        <f>D7+D14+D22+D25+D28</f>
        <v>3998</v>
      </c>
      <c r="E30" s="47"/>
      <c r="F30" s="29">
        <f>F16+F17+F18</f>
        <v>234006.1</v>
      </c>
      <c r="G30" s="36">
        <f>G22+G14</f>
        <v>64</v>
      </c>
    </row>
    <row r="31" spans="1:11" ht="14.1" customHeight="1" x14ac:dyDescent="0.25">
      <c r="A31" s="692"/>
      <c r="B31" s="692"/>
      <c r="C31" s="49"/>
      <c r="D31" s="50"/>
      <c r="E31" s="51"/>
      <c r="F31" s="51"/>
      <c r="G31" s="36"/>
    </row>
    <row r="32" spans="1:11" ht="14.1" customHeight="1" x14ac:dyDescent="0.25">
      <c r="A32" s="693" t="s">
        <v>8</v>
      </c>
      <c r="B32" s="693"/>
      <c r="C32" s="46"/>
      <c r="D32" s="50"/>
      <c r="E32" s="51"/>
      <c r="F32" s="68">
        <f>F14+F30</f>
        <v>407472.30000000005</v>
      </c>
      <c r="H32" s="67">
        <f>SUM(H9:H18)</f>
        <v>407472.3</v>
      </c>
    </row>
    <row r="33" spans="1:11" ht="14.1" customHeight="1" x14ac:dyDescent="0.25">
      <c r="A33" s="53"/>
      <c r="B33" s="53"/>
      <c r="C33" s="54"/>
      <c r="D33" s="55"/>
      <c r="E33" s="56"/>
      <c r="F33" s="56"/>
    </row>
    <row r="34" spans="1:11" s="22" customFormat="1" ht="14.1" customHeight="1" x14ac:dyDescent="0.25">
      <c r="A34" s="45"/>
      <c r="B34" s="45" t="s">
        <v>142</v>
      </c>
      <c r="C34" s="45"/>
      <c r="D34" s="85" t="s">
        <v>143</v>
      </c>
      <c r="E34" s="84" t="s">
        <v>144</v>
      </c>
      <c r="F34" s="86"/>
      <c r="G34" s="21"/>
      <c r="H34" s="21"/>
      <c r="I34" s="21"/>
      <c r="J34" s="21"/>
      <c r="K34" s="21"/>
    </row>
    <row r="35" spans="1:11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11" ht="14.1" customHeight="1" x14ac:dyDescent="0.25">
      <c r="A36" s="59" t="s">
        <v>54</v>
      </c>
      <c r="B36" s="61">
        <v>0.1</v>
      </c>
      <c r="C36" s="61"/>
      <c r="D36" s="51">
        <v>62543.5</v>
      </c>
      <c r="E36" s="51">
        <f>B36*F32</f>
        <v>40747.23000000001</v>
      </c>
      <c r="F36" s="62"/>
      <c r="H36" s="1">
        <f>D36/B36</f>
        <v>625435</v>
      </c>
    </row>
    <row r="37" spans="1:11" ht="14.1" customHeight="1" x14ac:dyDescent="0.25">
      <c r="A37" s="59" t="s">
        <v>15</v>
      </c>
      <c r="B37" s="48"/>
      <c r="C37" s="48"/>
      <c r="D37" s="51">
        <v>2000</v>
      </c>
      <c r="E37" s="51">
        <f>D37</f>
        <v>2000</v>
      </c>
      <c r="F37" s="56"/>
    </row>
    <row r="38" spans="1:11" ht="14.1" customHeight="1" x14ac:dyDescent="0.25">
      <c r="A38" s="59" t="s">
        <v>55</v>
      </c>
      <c r="B38" s="61">
        <v>0.05</v>
      </c>
      <c r="C38" s="61"/>
      <c r="D38" s="51">
        <v>31271.75</v>
      </c>
      <c r="E38" s="51">
        <f>(F32+E36+E37)*B38</f>
        <v>22510.976500000004</v>
      </c>
      <c r="F38" s="63"/>
      <c r="H38" s="1">
        <f>D38/B38</f>
        <v>625435</v>
      </c>
    </row>
    <row r="39" spans="1:11" ht="14.1" customHeight="1" x14ac:dyDescent="0.25">
      <c r="A39" s="59" t="s">
        <v>17</v>
      </c>
      <c r="B39" s="48"/>
      <c r="C39" s="48"/>
      <c r="D39" s="68">
        <f>SUM(D36:D38)</f>
        <v>95815.25</v>
      </c>
      <c r="E39" s="52">
        <f>SUM(E36:E38)</f>
        <v>65258.206500000015</v>
      </c>
      <c r="F39" s="56"/>
    </row>
    <row r="40" spans="1:11" ht="14.1" customHeight="1" x14ac:dyDescent="0.25">
      <c r="A40" s="59"/>
      <c r="B40" s="48"/>
      <c r="C40" s="48"/>
      <c r="D40" s="51"/>
      <c r="E40" s="51"/>
      <c r="F40" s="56"/>
    </row>
    <row r="41" spans="1:11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11" ht="14.1" customHeight="1" x14ac:dyDescent="0.25">
      <c r="A42" s="59" t="s">
        <v>19</v>
      </c>
      <c r="B42" s="64">
        <v>6.4999999999999997E-3</v>
      </c>
      <c r="C42" s="64"/>
      <c r="D42" s="51">
        <v>4065.33</v>
      </c>
      <c r="E42" s="51">
        <f>B42*D50</f>
        <v>3363.7091321839084</v>
      </c>
      <c r="F42" s="81"/>
      <c r="H42" s="1">
        <f>D42/B42</f>
        <v>625435.38461538462</v>
      </c>
    </row>
    <row r="43" spans="1:11" ht="14.1" customHeight="1" x14ac:dyDescent="0.25">
      <c r="A43" s="59" t="s">
        <v>20</v>
      </c>
      <c r="B43" s="65">
        <v>0.03</v>
      </c>
      <c r="C43" s="65"/>
      <c r="D43" s="51">
        <v>18763.05</v>
      </c>
      <c r="E43" s="51">
        <f>B43*D50</f>
        <v>15524.811379310348</v>
      </c>
      <c r="F43" s="81"/>
      <c r="H43" s="1">
        <f>D43/B43</f>
        <v>625435</v>
      </c>
    </row>
    <row r="44" spans="1:11" ht="14.1" customHeight="1" x14ac:dyDescent="0.25">
      <c r="A44" s="59" t="s">
        <v>145</v>
      </c>
      <c r="B44" s="65">
        <v>0.05</v>
      </c>
      <c r="C44" s="65"/>
      <c r="D44" s="51">
        <f>B44*625435</f>
        <v>31271.75</v>
      </c>
      <c r="E44" s="51">
        <f>B44*D50</f>
        <v>25874.685632183915</v>
      </c>
      <c r="F44" s="81"/>
      <c r="H44" s="1">
        <f>D44/B44</f>
        <v>625435</v>
      </c>
    </row>
    <row r="45" spans="1:11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54100.13</v>
      </c>
      <c r="E45" s="52">
        <f>SUM(E42:E44)</f>
        <v>44763.206143678166</v>
      </c>
      <c r="F45" s="56"/>
      <c r="H45" s="1">
        <f>B45*D55</f>
        <v>0</v>
      </c>
    </row>
    <row r="46" spans="1:11" ht="14.1" customHeight="1" x14ac:dyDescent="0.25">
      <c r="A46" s="59" t="s">
        <v>146</v>
      </c>
      <c r="B46" s="64">
        <v>0.10879999999999999</v>
      </c>
      <c r="C46" s="64"/>
      <c r="D46" s="51">
        <f>B46*625435</f>
        <v>68047.327999999994</v>
      </c>
      <c r="E46" s="51">
        <v>0</v>
      </c>
      <c r="F46" s="56"/>
      <c r="H46" s="82"/>
    </row>
    <row r="47" spans="1:11" ht="14.1" customHeight="1" x14ac:dyDescent="0.25">
      <c r="A47" s="59"/>
      <c r="B47" s="64">
        <v>0</v>
      </c>
      <c r="C47" s="64"/>
      <c r="D47" s="51">
        <v>0</v>
      </c>
      <c r="E47" s="51"/>
      <c r="F47" s="56"/>
    </row>
    <row r="48" spans="1:11" ht="14.1" customHeight="1" x14ac:dyDescent="0.25">
      <c r="A48" s="694" t="s">
        <v>17</v>
      </c>
      <c r="B48" s="694"/>
      <c r="C48" s="54"/>
      <c r="D48" s="67">
        <f>D42+D43+D44+D46</f>
        <v>122147.45799999998</v>
      </c>
      <c r="E48" s="67">
        <f>E42+E43+E44+E46</f>
        <v>44763.206143678166</v>
      </c>
      <c r="F48" s="56"/>
      <c r="H48" s="1">
        <v>99319.08</v>
      </c>
    </row>
    <row r="49" spans="1:11" ht="14.1" customHeight="1" x14ac:dyDescent="0.25">
      <c r="A49" s="695" t="s">
        <v>59</v>
      </c>
      <c r="B49" s="695"/>
      <c r="C49" s="48"/>
      <c r="D49" s="52">
        <f>F32+E39</f>
        <v>472730.50650000008</v>
      </c>
      <c r="E49" s="56"/>
      <c r="F49" s="56"/>
      <c r="H49" s="1">
        <v>0.1588</v>
      </c>
    </row>
    <row r="50" spans="1:11" ht="14.1" customHeight="1" x14ac:dyDescent="0.25">
      <c r="A50" s="695" t="s">
        <v>60</v>
      </c>
      <c r="B50" s="695"/>
      <c r="C50" s="48"/>
      <c r="D50" s="68">
        <f>D49/(1-B45)</f>
        <v>517493.71264367824</v>
      </c>
      <c r="E50" s="56"/>
      <c r="F50" s="56"/>
      <c r="H50" s="1">
        <f>H48/H49</f>
        <v>625435.01259445841</v>
      </c>
    </row>
    <row r="51" spans="1:11" s="72" customFormat="1" ht="14.1" customHeight="1" x14ac:dyDescent="0.25">
      <c r="A51" s="691" t="s">
        <v>24</v>
      </c>
      <c r="B51" s="691"/>
      <c r="C51" s="45"/>
      <c r="D51" s="85" t="s">
        <v>143</v>
      </c>
      <c r="E51" s="69" t="s">
        <v>144</v>
      </c>
      <c r="F51" s="69" t="s">
        <v>147</v>
      </c>
      <c r="G51" s="70"/>
      <c r="H51" s="70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F32+D39+D45+D46-0.01</f>
        <v>625434.99800000002</v>
      </c>
      <c r="E52" s="52">
        <f>F32+E39+E45</f>
        <v>517493.71264367824</v>
      </c>
      <c r="F52" s="52">
        <f>D52-E52</f>
        <v>107941.28535632178</v>
      </c>
    </row>
    <row r="53" spans="1:11" ht="14.1" customHeight="1" x14ac:dyDescent="0.25">
      <c r="A53" s="691" t="s">
        <v>27</v>
      </c>
      <c r="B53" s="691"/>
      <c r="C53" s="46"/>
      <c r="D53" s="52">
        <f>D52*12+0.01</f>
        <v>7505219.9859999996</v>
      </c>
      <c r="E53" s="52">
        <f>E52*12</f>
        <v>6209924.5517241387</v>
      </c>
      <c r="F53" s="52">
        <f>D53-E53+0.01</f>
        <v>1295295.4442758609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J83"/>
  <sheetViews>
    <sheetView showGridLines="0" tabSelected="1" zoomScale="120" zoomScaleNormal="120" workbookViewId="0">
      <selection activeCell="F62" sqref="F62"/>
    </sheetView>
  </sheetViews>
  <sheetFormatPr defaultRowHeight="11.25" x14ac:dyDescent="0.2"/>
  <cols>
    <col min="1" max="1" width="9.140625" style="617" customWidth="1"/>
    <col min="2" max="2" width="30.7109375" style="617" customWidth="1"/>
    <col min="3" max="3" width="14.42578125" style="617" customWidth="1"/>
    <col min="4" max="4" width="14.85546875" style="617" bestFit="1" customWidth="1"/>
    <col min="5" max="5" width="16.85546875" style="617" bestFit="1" customWidth="1"/>
    <col min="6" max="6" width="10.7109375" style="617" bestFit="1" customWidth="1"/>
    <col min="7" max="8" width="15.7109375" style="617" bestFit="1" customWidth="1"/>
    <col min="9" max="9" width="15.42578125" style="617" bestFit="1" customWidth="1"/>
    <col min="10" max="10" width="15.85546875" style="617" bestFit="1" customWidth="1"/>
    <col min="11" max="16384" width="9.140625" style="617"/>
  </cols>
  <sheetData>
    <row r="1" spans="1:10" ht="12.75" x14ac:dyDescent="0.2">
      <c r="A1" s="727" t="s">
        <v>279</v>
      </c>
      <c r="B1" s="728"/>
      <c r="C1" s="728"/>
      <c r="D1" s="728"/>
      <c r="E1" s="728"/>
      <c r="F1" s="728"/>
      <c r="G1" s="728"/>
      <c r="H1" s="728"/>
      <c r="I1" s="728"/>
      <c r="J1" s="729"/>
    </row>
    <row r="2" spans="1:10" ht="12.75" x14ac:dyDescent="0.2">
      <c r="A2" s="764" t="s">
        <v>255</v>
      </c>
      <c r="B2" s="765"/>
      <c r="C2" s="765"/>
      <c r="D2" s="765"/>
      <c r="E2" s="765"/>
      <c r="F2" s="765"/>
      <c r="G2" s="765"/>
      <c r="H2" s="765"/>
      <c r="I2" s="765"/>
      <c r="J2" s="766"/>
    </row>
    <row r="3" spans="1:10" ht="15" customHeight="1" x14ac:dyDescent="0.2">
      <c r="A3" s="748" t="s">
        <v>28</v>
      </c>
      <c r="B3" s="749"/>
      <c r="C3" s="749"/>
      <c r="D3" s="749"/>
      <c r="E3" s="757" t="s">
        <v>29</v>
      </c>
      <c r="F3" s="761"/>
      <c r="G3" s="755" t="s">
        <v>263</v>
      </c>
      <c r="H3" s="756"/>
      <c r="I3" s="757" t="s">
        <v>264</v>
      </c>
      <c r="J3" s="758"/>
    </row>
    <row r="4" spans="1:10" ht="15" customHeight="1" x14ac:dyDescent="0.2">
      <c r="A4" s="748" t="s">
        <v>280</v>
      </c>
      <c r="B4" s="749"/>
      <c r="C4" s="749"/>
      <c r="D4" s="749"/>
      <c r="E4" s="713">
        <v>129</v>
      </c>
      <c r="F4" s="714"/>
      <c r="G4" s="674">
        <f>ROUND(H4,2)</f>
        <v>0</v>
      </c>
      <c r="H4" s="673">
        <v>0</v>
      </c>
      <c r="I4" s="753">
        <f>E4*G4</f>
        <v>0</v>
      </c>
      <c r="J4" s="754"/>
    </row>
    <row r="5" spans="1:10" ht="15" customHeight="1" x14ac:dyDescent="0.2">
      <c r="A5" s="748" t="s">
        <v>281</v>
      </c>
      <c r="B5" s="749"/>
      <c r="C5" s="749"/>
      <c r="D5" s="749"/>
      <c r="E5" s="713">
        <v>258</v>
      </c>
      <c r="F5" s="714"/>
      <c r="G5" s="674">
        <f t="shared" ref="G5:G23" si="0">ROUND(H5,2)</f>
        <v>0</v>
      </c>
      <c r="H5" s="673">
        <v>0</v>
      </c>
      <c r="I5" s="753">
        <f>E5*G5</f>
        <v>0</v>
      </c>
      <c r="J5" s="754"/>
    </row>
    <row r="6" spans="1:10" ht="15" customHeight="1" x14ac:dyDescent="0.2">
      <c r="A6" s="748" t="s">
        <v>282</v>
      </c>
      <c r="B6" s="749"/>
      <c r="C6" s="749"/>
      <c r="D6" s="749"/>
      <c r="E6" s="713">
        <v>2192</v>
      </c>
      <c r="F6" s="714"/>
      <c r="G6" s="674">
        <f t="shared" si="0"/>
        <v>0</v>
      </c>
      <c r="H6" s="673">
        <v>0</v>
      </c>
      <c r="I6" s="753">
        <f>E6*G6</f>
        <v>0</v>
      </c>
      <c r="J6" s="754"/>
    </row>
    <row r="7" spans="1:10" ht="15" customHeight="1" x14ac:dyDescent="0.2">
      <c r="A7" s="748" t="s">
        <v>283</v>
      </c>
      <c r="B7" s="749"/>
      <c r="C7" s="749"/>
      <c r="D7" s="749"/>
      <c r="E7" s="713">
        <v>387</v>
      </c>
      <c r="F7" s="714"/>
      <c r="G7" s="674">
        <f t="shared" si="0"/>
        <v>0</v>
      </c>
      <c r="H7" s="673">
        <v>0</v>
      </c>
      <c r="I7" s="753">
        <f t="shared" ref="I7:I20" si="1">E7*G7</f>
        <v>0</v>
      </c>
      <c r="J7" s="754"/>
    </row>
    <row r="8" spans="1:10" ht="15" customHeight="1" x14ac:dyDescent="0.2">
      <c r="A8" s="748" t="s">
        <v>284</v>
      </c>
      <c r="B8" s="749"/>
      <c r="C8" s="749"/>
      <c r="D8" s="749"/>
      <c r="E8" s="713">
        <v>129</v>
      </c>
      <c r="F8" s="714"/>
      <c r="G8" s="674">
        <f t="shared" si="0"/>
        <v>0</v>
      </c>
      <c r="H8" s="673">
        <v>0</v>
      </c>
      <c r="I8" s="753">
        <f t="shared" si="1"/>
        <v>0</v>
      </c>
      <c r="J8" s="754"/>
    </row>
    <row r="9" spans="1:10" ht="15" customHeight="1" x14ac:dyDescent="0.2">
      <c r="A9" s="748" t="s">
        <v>285</v>
      </c>
      <c r="B9" s="749"/>
      <c r="C9" s="749"/>
      <c r="D9" s="749"/>
      <c r="E9" s="713">
        <v>774</v>
      </c>
      <c r="F9" s="714"/>
      <c r="G9" s="674">
        <f t="shared" si="0"/>
        <v>0</v>
      </c>
      <c r="H9" s="673">
        <v>0</v>
      </c>
      <c r="I9" s="753">
        <f t="shared" si="1"/>
        <v>0</v>
      </c>
      <c r="J9" s="754"/>
    </row>
    <row r="10" spans="1:10" ht="15" hidden="1" customHeight="1" x14ac:dyDescent="0.2">
      <c r="A10" s="750"/>
      <c r="B10" s="751"/>
      <c r="C10" s="751"/>
      <c r="D10" s="752"/>
      <c r="E10" s="713"/>
      <c r="F10" s="714"/>
      <c r="G10" s="674">
        <f t="shared" si="0"/>
        <v>0</v>
      </c>
      <c r="H10" s="673">
        <v>0</v>
      </c>
      <c r="I10" s="753">
        <f t="shared" si="1"/>
        <v>0</v>
      </c>
      <c r="J10" s="754"/>
    </row>
    <row r="11" spans="1:10" ht="15" hidden="1" customHeight="1" x14ac:dyDescent="0.2">
      <c r="A11" s="750"/>
      <c r="B11" s="751"/>
      <c r="C11" s="751"/>
      <c r="D11" s="752"/>
      <c r="E11" s="713"/>
      <c r="F11" s="714"/>
      <c r="G11" s="674">
        <f t="shared" si="0"/>
        <v>0</v>
      </c>
      <c r="H11" s="673">
        <v>0</v>
      </c>
      <c r="I11" s="753">
        <f t="shared" si="1"/>
        <v>0</v>
      </c>
      <c r="J11" s="754"/>
    </row>
    <row r="12" spans="1:10" ht="15" hidden="1" customHeight="1" x14ac:dyDescent="0.2">
      <c r="A12" s="750"/>
      <c r="B12" s="751"/>
      <c r="C12" s="751"/>
      <c r="D12" s="752"/>
      <c r="E12" s="713"/>
      <c r="F12" s="714"/>
      <c r="G12" s="674">
        <f t="shared" si="0"/>
        <v>0</v>
      </c>
      <c r="H12" s="673">
        <v>0</v>
      </c>
      <c r="I12" s="753">
        <f t="shared" si="1"/>
        <v>0</v>
      </c>
      <c r="J12" s="754"/>
    </row>
    <row r="13" spans="1:10" ht="15" hidden="1" customHeight="1" x14ac:dyDescent="0.2">
      <c r="A13" s="750"/>
      <c r="B13" s="751"/>
      <c r="C13" s="751"/>
      <c r="D13" s="752"/>
      <c r="E13" s="713"/>
      <c r="F13" s="714"/>
      <c r="G13" s="674">
        <f t="shared" si="0"/>
        <v>0</v>
      </c>
      <c r="H13" s="673">
        <v>0</v>
      </c>
      <c r="I13" s="753">
        <f t="shared" si="1"/>
        <v>0</v>
      </c>
      <c r="J13" s="754"/>
    </row>
    <row r="14" spans="1:10" ht="15" hidden="1" customHeight="1" x14ac:dyDescent="0.2">
      <c r="A14" s="750"/>
      <c r="B14" s="751"/>
      <c r="C14" s="751"/>
      <c r="D14" s="752"/>
      <c r="E14" s="713"/>
      <c r="F14" s="714"/>
      <c r="G14" s="674">
        <f t="shared" si="0"/>
        <v>0</v>
      </c>
      <c r="H14" s="673">
        <v>0</v>
      </c>
      <c r="I14" s="753">
        <f t="shared" si="1"/>
        <v>0</v>
      </c>
      <c r="J14" s="754"/>
    </row>
    <row r="15" spans="1:10" ht="15" hidden="1" customHeight="1" x14ac:dyDescent="0.2">
      <c r="A15" s="750"/>
      <c r="B15" s="751"/>
      <c r="C15" s="751"/>
      <c r="D15" s="752"/>
      <c r="E15" s="713"/>
      <c r="F15" s="714"/>
      <c r="G15" s="674">
        <f t="shared" si="0"/>
        <v>0</v>
      </c>
      <c r="H15" s="673">
        <v>0</v>
      </c>
      <c r="I15" s="753">
        <f t="shared" si="1"/>
        <v>0</v>
      </c>
      <c r="J15" s="754"/>
    </row>
    <row r="16" spans="1:10" ht="15" hidden="1" customHeight="1" x14ac:dyDescent="0.2">
      <c r="A16" s="748"/>
      <c r="B16" s="749"/>
      <c r="C16" s="749"/>
      <c r="D16" s="749"/>
      <c r="E16" s="713"/>
      <c r="F16" s="714"/>
      <c r="G16" s="674">
        <f t="shared" si="0"/>
        <v>0</v>
      </c>
      <c r="H16" s="673">
        <v>0</v>
      </c>
      <c r="I16" s="753">
        <f t="shared" si="1"/>
        <v>0</v>
      </c>
      <c r="J16" s="754"/>
    </row>
    <row r="17" spans="1:10" ht="15" hidden="1" customHeight="1" x14ac:dyDescent="0.2">
      <c r="A17" s="748"/>
      <c r="B17" s="749"/>
      <c r="C17" s="749"/>
      <c r="D17" s="749"/>
      <c r="E17" s="713"/>
      <c r="F17" s="714"/>
      <c r="G17" s="674">
        <f t="shared" si="0"/>
        <v>0</v>
      </c>
      <c r="H17" s="673">
        <v>0</v>
      </c>
      <c r="I17" s="753">
        <f t="shared" si="1"/>
        <v>0</v>
      </c>
      <c r="J17" s="754"/>
    </row>
    <row r="18" spans="1:10" ht="15" hidden="1" customHeight="1" x14ac:dyDescent="0.2">
      <c r="A18" s="748"/>
      <c r="B18" s="749"/>
      <c r="C18" s="749"/>
      <c r="D18" s="749"/>
      <c r="E18" s="713"/>
      <c r="F18" s="714"/>
      <c r="G18" s="674">
        <f t="shared" si="0"/>
        <v>0</v>
      </c>
      <c r="H18" s="673">
        <v>0</v>
      </c>
      <c r="I18" s="753">
        <f t="shared" si="1"/>
        <v>0</v>
      </c>
      <c r="J18" s="754"/>
    </row>
    <row r="19" spans="1:10" ht="15" hidden="1" customHeight="1" x14ac:dyDescent="0.2">
      <c r="A19" s="748"/>
      <c r="B19" s="749"/>
      <c r="C19" s="749"/>
      <c r="D19" s="749"/>
      <c r="E19" s="713"/>
      <c r="F19" s="714"/>
      <c r="G19" s="674">
        <f t="shared" si="0"/>
        <v>0</v>
      </c>
      <c r="H19" s="673">
        <v>0</v>
      </c>
      <c r="I19" s="753">
        <f t="shared" si="1"/>
        <v>0</v>
      </c>
      <c r="J19" s="754"/>
    </row>
    <row r="20" spans="1:10" ht="15" hidden="1" customHeight="1" x14ac:dyDescent="0.2">
      <c r="A20" s="748"/>
      <c r="B20" s="749"/>
      <c r="C20" s="749"/>
      <c r="D20" s="749"/>
      <c r="E20" s="713"/>
      <c r="F20" s="714"/>
      <c r="G20" s="674">
        <f t="shared" si="0"/>
        <v>0</v>
      </c>
      <c r="H20" s="673">
        <v>0</v>
      </c>
      <c r="I20" s="753">
        <f t="shared" si="1"/>
        <v>0</v>
      </c>
      <c r="J20" s="754"/>
    </row>
    <row r="21" spans="1:10" ht="15" hidden="1" customHeight="1" x14ac:dyDescent="0.2">
      <c r="A21" s="748"/>
      <c r="B21" s="749"/>
      <c r="C21" s="749"/>
      <c r="D21" s="749"/>
      <c r="E21" s="713"/>
      <c r="F21" s="714"/>
      <c r="G21" s="674">
        <f t="shared" si="0"/>
        <v>0</v>
      </c>
      <c r="H21" s="673">
        <v>0</v>
      </c>
      <c r="I21" s="753">
        <f>E21*G21</f>
        <v>0</v>
      </c>
      <c r="J21" s="754"/>
    </row>
    <row r="22" spans="1:10" ht="15" hidden="1" customHeight="1" x14ac:dyDescent="0.2">
      <c r="A22" s="748"/>
      <c r="B22" s="749"/>
      <c r="C22" s="749"/>
      <c r="D22" s="749"/>
      <c r="E22" s="713"/>
      <c r="F22" s="714"/>
      <c r="G22" s="674">
        <f t="shared" si="0"/>
        <v>0</v>
      </c>
      <c r="H22" s="673">
        <v>0</v>
      </c>
      <c r="I22" s="753">
        <f>E22*G22</f>
        <v>0</v>
      </c>
      <c r="J22" s="754"/>
    </row>
    <row r="23" spans="1:10" ht="15" hidden="1" customHeight="1" x14ac:dyDescent="0.2">
      <c r="A23" s="748"/>
      <c r="B23" s="749"/>
      <c r="C23" s="749"/>
      <c r="D23" s="749"/>
      <c r="E23" s="713"/>
      <c r="F23" s="714"/>
      <c r="G23" s="674">
        <f t="shared" si="0"/>
        <v>0</v>
      </c>
      <c r="H23" s="673">
        <v>0</v>
      </c>
      <c r="I23" s="753">
        <f>E23*G23</f>
        <v>0</v>
      </c>
      <c r="J23" s="754"/>
    </row>
    <row r="24" spans="1:10" ht="15" customHeight="1" x14ac:dyDescent="0.2">
      <c r="A24" s="759" t="s">
        <v>256</v>
      </c>
      <c r="B24" s="760"/>
      <c r="C24" s="760"/>
      <c r="D24" s="760"/>
      <c r="E24" s="762">
        <f>SUM(E4:F17)</f>
        <v>3869</v>
      </c>
      <c r="F24" s="763"/>
      <c r="G24" s="675"/>
      <c r="H24" s="725" t="s">
        <v>275</v>
      </c>
      <c r="I24" s="767">
        <f>SUM(I4:J22)</f>
        <v>0</v>
      </c>
      <c r="J24" s="768"/>
    </row>
    <row r="25" spans="1:10" ht="15" customHeight="1" thickBot="1" x14ac:dyDescent="0.25">
      <c r="A25" s="734" t="s">
        <v>277</v>
      </c>
      <c r="B25" s="735"/>
      <c r="C25" s="735"/>
      <c r="D25" s="735"/>
      <c r="E25" s="736">
        <f>E24*12</f>
        <v>46428</v>
      </c>
      <c r="F25" s="737"/>
      <c r="G25" s="675"/>
      <c r="H25" s="726"/>
      <c r="I25" s="730">
        <f>I24*12</f>
        <v>0</v>
      </c>
      <c r="J25" s="731"/>
    </row>
    <row r="26" spans="1:10" ht="12" thickBot="1" x14ac:dyDescent="0.25">
      <c r="A26" s="618"/>
      <c r="B26" s="619"/>
      <c r="C26" s="620"/>
      <c r="D26" s="621"/>
      <c r="E26" s="622"/>
      <c r="F26" s="616"/>
      <c r="G26" s="616"/>
      <c r="H26" s="616"/>
      <c r="I26" s="623"/>
      <c r="J26" s="624"/>
    </row>
    <row r="27" spans="1:10" ht="12.75" x14ac:dyDescent="0.2">
      <c r="A27" s="740" t="s">
        <v>265</v>
      </c>
      <c r="B27" s="741"/>
      <c r="C27" s="738" t="s">
        <v>262</v>
      </c>
      <c r="D27" s="739"/>
      <c r="F27" s="744" t="s">
        <v>266</v>
      </c>
      <c r="G27" s="625" t="s">
        <v>261</v>
      </c>
      <c r="H27" s="746" t="s">
        <v>254</v>
      </c>
      <c r="I27" s="732"/>
      <c r="J27" s="733"/>
    </row>
    <row r="28" spans="1:10" ht="12.75" x14ac:dyDescent="0.2">
      <c r="A28" s="742"/>
      <c r="B28" s="743"/>
      <c r="C28" s="670"/>
      <c r="D28" s="671" t="s">
        <v>275</v>
      </c>
      <c r="F28" s="745"/>
      <c r="G28" s="672" t="s">
        <v>275</v>
      </c>
      <c r="H28" s="747"/>
      <c r="I28" s="666"/>
      <c r="J28" s="667"/>
    </row>
    <row r="29" spans="1:10" ht="25.5" x14ac:dyDescent="0.2">
      <c r="A29" s="626" t="s">
        <v>259</v>
      </c>
      <c r="B29" s="668" t="e">
        <f>C29/$E$57</f>
        <v>#DIV/0!</v>
      </c>
      <c r="C29" s="669">
        <f>ROUND(D29,2)</f>
        <v>0</v>
      </c>
      <c r="D29" s="627">
        <v>0</v>
      </c>
      <c r="F29" s="629" t="s">
        <v>19</v>
      </c>
      <c r="G29" s="630">
        <v>6.4999999999999997E-3</v>
      </c>
      <c r="H29" s="631">
        <f>$I$24*G29</f>
        <v>0</v>
      </c>
      <c r="I29" s="623"/>
      <c r="J29" s="624"/>
    </row>
    <row r="30" spans="1:10" ht="25.5" x14ac:dyDescent="0.2">
      <c r="A30" s="626" t="s">
        <v>15</v>
      </c>
      <c r="B30" s="668" t="e">
        <f>C30/$E$57</f>
        <v>#DIV/0!</v>
      </c>
      <c r="C30" s="669">
        <f>ROUND(D30,2)</f>
        <v>0</v>
      </c>
      <c r="D30" s="627">
        <v>0</v>
      </c>
      <c r="F30" s="629" t="s">
        <v>20</v>
      </c>
      <c r="G30" s="630">
        <v>0.03</v>
      </c>
      <c r="H30" s="631">
        <f>$I$24*G30</f>
        <v>0</v>
      </c>
      <c r="I30" s="623"/>
      <c r="J30" s="664"/>
    </row>
    <row r="31" spans="1:10" ht="12.75" x14ac:dyDescent="0.2">
      <c r="A31" s="626" t="s">
        <v>55</v>
      </c>
      <c r="B31" s="668" t="e">
        <f>C31/($E$57+C29+C30)</f>
        <v>#DIV/0!</v>
      </c>
      <c r="C31" s="669">
        <f>ROUND(D31,2)</f>
        <v>0</v>
      </c>
      <c r="D31" s="627">
        <v>0</v>
      </c>
      <c r="F31" s="629" t="s">
        <v>21</v>
      </c>
      <c r="G31" s="630">
        <v>0.05</v>
      </c>
      <c r="H31" s="631">
        <f t="shared" ref="H31" si="2">$I$24*G31</f>
        <v>0</v>
      </c>
      <c r="I31" s="623"/>
      <c r="J31" s="624"/>
    </row>
    <row r="32" spans="1:10" s="636" customFormat="1" ht="15.75" customHeight="1" thickBot="1" x14ac:dyDescent="0.25">
      <c r="A32" s="665" t="s">
        <v>260</v>
      </c>
      <c r="B32" s="633" t="e">
        <f>SUM(B29:B31)</f>
        <v>#DIV/0!</v>
      </c>
      <c r="C32" s="709">
        <f>SUM(C29:C31)</f>
        <v>0</v>
      </c>
      <c r="D32" s="710"/>
      <c r="F32" s="632" t="s">
        <v>17</v>
      </c>
      <c r="G32" s="633">
        <f ca="1">SUM(G29:G32)</f>
        <v>8.6499999999999994E-2</v>
      </c>
      <c r="H32" s="634">
        <f>SUM(H29:H31)</f>
        <v>0</v>
      </c>
      <c r="I32" s="662"/>
      <c r="J32" s="635"/>
    </row>
    <row r="33" spans="1:10" x14ac:dyDescent="0.2">
      <c r="A33" s="618"/>
      <c r="B33" s="619"/>
      <c r="C33" s="622"/>
      <c r="D33" s="621"/>
      <c r="E33" s="622"/>
      <c r="F33" s="616"/>
      <c r="G33" s="616"/>
      <c r="H33" s="616"/>
      <c r="I33" s="616"/>
      <c r="J33" s="624"/>
    </row>
    <row r="34" spans="1:10" ht="12" thickBot="1" x14ac:dyDescent="0.25">
      <c r="A34" s="637"/>
      <c r="B34" s="616"/>
      <c r="C34" s="616"/>
      <c r="D34" s="616"/>
      <c r="E34" s="616"/>
      <c r="F34" s="616"/>
      <c r="G34" s="616"/>
      <c r="H34" s="616"/>
      <c r="I34" s="616"/>
      <c r="J34" s="624"/>
    </row>
    <row r="35" spans="1:10" ht="12.75" x14ac:dyDescent="0.2">
      <c r="A35" s="727" t="s">
        <v>267</v>
      </c>
      <c r="B35" s="728"/>
      <c r="C35" s="728"/>
      <c r="D35" s="728"/>
      <c r="E35" s="729"/>
      <c r="F35" s="727" t="s">
        <v>268</v>
      </c>
      <c r="G35" s="728"/>
      <c r="H35" s="728"/>
      <c r="I35" s="728"/>
      <c r="J35" s="729"/>
    </row>
    <row r="36" spans="1:10" ht="25.5" x14ac:dyDescent="0.2">
      <c r="A36" s="748" t="s">
        <v>28</v>
      </c>
      <c r="B36" s="749"/>
      <c r="C36" s="638" t="s">
        <v>29</v>
      </c>
      <c r="D36" s="639" t="s">
        <v>257</v>
      </c>
      <c r="E36" s="640" t="s">
        <v>258</v>
      </c>
      <c r="F36" s="626" t="s">
        <v>274</v>
      </c>
      <c r="G36" s="639" t="s">
        <v>271</v>
      </c>
      <c r="H36" s="639" t="s">
        <v>270</v>
      </c>
      <c r="I36" s="638" t="s">
        <v>273</v>
      </c>
      <c r="J36" s="641" t="s">
        <v>272</v>
      </c>
    </row>
    <row r="37" spans="1:10" ht="12.75" x14ac:dyDescent="0.2">
      <c r="A37" s="711" t="str">
        <f>A4</f>
        <v>Médico Ortopedia Coordenação</v>
      </c>
      <c r="B37" s="712"/>
      <c r="C37" s="676">
        <f>E4</f>
        <v>129</v>
      </c>
      <c r="D37" s="642">
        <f>IFERROR(I37-H37-G37,"0")</f>
        <v>0</v>
      </c>
      <c r="E37" s="677">
        <f>C37*D37</f>
        <v>0</v>
      </c>
      <c r="F37" s="680" t="str">
        <f>IFERROR(J37/$J$57,"0")</f>
        <v>0</v>
      </c>
      <c r="G37" s="642">
        <f>IFERROR(($C$32*F37)/C37,"0")</f>
        <v>0</v>
      </c>
      <c r="H37" s="642">
        <f>IFERROR(($H$32*F37)/C37,"0")</f>
        <v>0</v>
      </c>
      <c r="I37" s="643">
        <f>G4</f>
        <v>0</v>
      </c>
      <c r="J37" s="678">
        <f>I4</f>
        <v>0</v>
      </c>
    </row>
    <row r="38" spans="1:10" ht="12.75" x14ac:dyDescent="0.2">
      <c r="A38" s="711" t="str">
        <f t="shared" ref="A38:A56" si="3">A5</f>
        <v>Médico Ortopedia Rotina</v>
      </c>
      <c r="B38" s="712"/>
      <c r="C38" s="676">
        <f t="shared" ref="C38:C56" si="4">E5</f>
        <v>258</v>
      </c>
      <c r="D38" s="642">
        <f t="shared" ref="D38:D56" si="5">IFERROR(I38-H38-G38,"0")</f>
        <v>0</v>
      </c>
      <c r="E38" s="677">
        <f t="shared" ref="E38:E56" si="6">C38*D38</f>
        <v>0</v>
      </c>
      <c r="F38" s="680" t="str">
        <f t="shared" ref="F38:F56" si="7">IFERROR(J38/$J$57,"0")</f>
        <v>0</v>
      </c>
      <c r="G38" s="642">
        <f t="shared" ref="G38:G56" si="8">IFERROR(($C$32*F38)/C38,"0")</f>
        <v>0</v>
      </c>
      <c r="H38" s="642">
        <f t="shared" ref="H38:H56" si="9">IFERROR(($H$32*F38)/C38,"0")</f>
        <v>0</v>
      </c>
      <c r="I38" s="643">
        <f t="shared" ref="I38:I56" si="10">G5</f>
        <v>0</v>
      </c>
      <c r="J38" s="678">
        <f t="shared" ref="J38:J56" si="11">I5</f>
        <v>0</v>
      </c>
    </row>
    <row r="39" spans="1:10" ht="12.75" x14ac:dyDescent="0.2">
      <c r="A39" s="711" t="str">
        <f t="shared" si="3"/>
        <v>Médico Ortopedia Plantão</v>
      </c>
      <c r="B39" s="712"/>
      <c r="C39" s="676">
        <f t="shared" si="4"/>
        <v>2192</v>
      </c>
      <c r="D39" s="642">
        <f t="shared" si="5"/>
        <v>0</v>
      </c>
      <c r="E39" s="677">
        <f t="shared" si="6"/>
        <v>0</v>
      </c>
      <c r="F39" s="680" t="str">
        <f t="shared" si="7"/>
        <v>0</v>
      </c>
      <c r="G39" s="642">
        <f t="shared" si="8"/>
        <v>0</v>
      </c>
      <c r="H39" s="642">
        <f t="shared" si="9"/>
        <v>0</v>
      </c>
      <c r="I39" s="643">
        <f t="shared" si="10"/>
        <v>0</v>
      </c>
      <c r="J39" s="678">
        <f t="shared" si="11"/>
        <v>0</v>
      </c>
    </row>
    <row r="40" spans="1:10" ht="12.75" x14ac:dyDescent="0.2">
      <c r="A40" s="711" t="str">
        <f t="shared" si="3"/>
        <v>Médico Ortopedia Ambulatório</v>
      </c>
      <c r="B40" s="712"/>
      <c r="C40" s="676">
        <f t="shared" si="4"/>
        <v>387</v>
      </c>
      <c r="D40" s="642">
        <f t="shared" si="5"/>
        <v>0</v>
      </c>
      <c r="E40" s="677">
        <f t="shared" si="6"/>
        <v>0</v>
      </c>
      <c r="F40" s="680" t="str">
        <f t="shared" si="7"/>
        <v>0</v>
      </c>
      <c r="G40" s="642">
        <f t="shared" si="8"/>
        <v>0</v>
      </c>
      <c r="H40" s="642">
        <f t="shared" si="9"/>
        <v>0</v>
      </c>
      <c r="I40" s="643">
        <f t="shared" si="10"/>
        <v>0</v>
      </c>
      <c r="J40" s="678">
        <f t="shared" si="11"/>
        <v>0</v>
      </c>
    </row>
    <row r="41" spans="1:10" ht="12.75" x14ac:dyDescent="0.2">
      <c r="A41" s="711" t="str">
        <f t="shared" si="3"/>
        <v>Médico Ortopedia Preceptoria</v>
      </c>
      <c r="B41" s="712"/>
      <c r="C41" s="676">
        <f t="shared" si="4"/>
        <v>129</v>
      </c>
      <c r="D41" s="642">
        <f t="shared" si="5"/>
        <v>0</v>
      </c>
      <c r="E41" s="677">
        <f t="shared" si="6"/>
        <v>0</v>
      </c>
      <c r="F41" s="680" t="str">
        <f t="shared" si="7"/>
        <v>0</v>
      </c>
      <c r="G41" s="642">
        <f t="shared" si="8"/>
        <v>0</v>
      </c>
      <c r="H41" s="642">
        <f t="shared" si="9"/>
        <v>0</v>
      </c>
      <c r="I41" s="643">
        <f t="shared" si="10"/>
        <v>0</v>
      </c>
      <c r="J41" s="678">
        <f t="shared" si="11"/>
        <v>0</v>
      </c>
    </row>
    <row r="42" spans="1:10" ht="13.5" thickBot="1" x14ac:dyDescent="0.25">
      <c r="A42" s="711" t="str">
        <f t="shared" si="3"/>
        <v>Médico Ortopedia Centro Cirúrgico</v>
      </c>
      <c r="B42" s="712"/>
      <c r="C42" s="676">
        <f t="shared" si="4"/>
        <v>774</v>
      </c>
      <c r="D42" s="642">
        <f t="shared" si="5"/>
        <v>0</v>
      </c>
      <c r="E42" s="677">
        <f t="shared" si="6"/>
        <v>0</v>
      </c>
      <c r="F42" s="680" t="str">
        <f t="shared" si="7"/>
        <v>0</v>
      </c>
      <c r="G42" s="642">
        <f t="shared" si="8"/>
        <v>0</v>
      </c>
      <c r="H42" s="642">
        <f t="shared" si="9"/>
        <v>0</v>
      </c>
      <c r="I42" s="643">
        <f t="shared" si="10"/>
        <v>0</v>
      </c>
      <c r="J42" s="678">
        <f t="shared" si="11"/>
        <v>0</v>
      </c>
    </row>
    <row r="43" spans="1:10" ht="12.75" hidden="1" x14ac:dyDescent="0.2">
      <c r="A43" s="711">
        <f t="shared" si="3"/>
        <v>0</v>
      </c>
      <c r="B43" s="712"/>
      <c r="C43" s="676">
        <f t="shared" si="4"/>
        <v>0</v>
      </c>
      <c r="D43" s="642">
        <f t="shared" si="5"/>
        <v>0</v>
      </c>
      <c r="E43" s="677">
        <f t="shared" si="6"/>
        <v>0</v>
      </c>
      <c r="F43" s="680" t="str">
        <f t="shared" si="7"/>
        <v>0</v>
      </c>
      <c r="G43" s="642" t="str">
        <f t="shared" si="8"/>
        <v>0</v>
      </c>
      <c r="H43" s="642" t="str">
        <f t="shared" si="9"/>
        <v>0</v>
      </c>
      <c r="I43" s="643">
        <f t="shared" si="10"/>
        <v>0</v>
      </c>
      <c r="J43" s="678">
        <f t="shared" si="11"/>
        <v>0</v>
      </c>
    </row>
    <row r="44" spans="1:10" ht="12.75" hidden="1" x14ac:dyDescent="0.2">
      <c r="A44" s="711">
        <f t="shared" si="3"/>
        <v>0</v>
      </c>
      <c r="B44" s="712"/>
      <c r="C44" s="676">
        <f t="shared" si="4"/>
        <v>0</v>
      </c>
      <c r="D44" s="642">
        <f t="shared" si="5"/>
        <v>0</v>
      </c>
      <c r="E44" s="677">
        <f t="shared" si="6"/>
        <v>0</v>
      </c>
      <c r="F44" s="680" t="str">
        <f t="shared" si="7"/>
        <v>0</v>
      </c>
      <c r="G44" s="642" t="str">
        <f t="shared" si="8"/>
        <v>0</v>
      </c>
      <c r="H44" s="642" t="str">
        <f t="shared" si="9"/>
        <v>0</v>
      </c>
      <c r="I44" s="643">
        <f t="shared" si="10"/>
        <v>0</v>
      </c>
      <c r="J44" s="678">
        <f t="shared" si="11"/>
        <v>0</v>
      </c>
    </row>
    <row r="45" spans="1:10" ht="12.75" hidden="1" x14ac:dyDescent="0.2">
      <c r="A45" s="711">
        <f t="shared" si="3"/>
        <v>0</v>
      </c>
      <c r="B45" s="712"/>
      <c r="C45" s="676">
        <f t="shared" si="4"/>
        <v>0</v>
      </c>
      <c r="D45" s="642">
        <f t="shared" si="5"/>
        <v>0</v>
      </c>
      <c r="E45" s="677">
        <f t="shared" si="6"/>
        <v>0</v>
      </c>
      <c r="F45" s="680" t="str">
        <f t="shared" si="7"/>
        <v>0</v>
      </c>
      <c r="G45" s="642" t="str">
        <f t="shared" si="8"/>
        <v>0</v>
      </c>
      <c r="H45" s="642" t="str">
        <f t="shared" si="9"/>
        <v>0</v>
      </c>
      <c r="I45" s="643">
        <f t="shared" si="10"/>
        <v>0</v>
      </c>
      <c r="J45" s="678">
        <f t="shared" si="11"/>
        <v>0</v>
      </c>
    </row>
    <row r="46" spans="1:10" ht="12.75" hidden="1" x14ac:dyDescent="0.2">
      <c r="A46" s="711">
        <f t="shared" si="3"/>
        <v>0</v>
      </c>
      <c r="B46" s="712"/>
      <c r="C46" s="676">
        <f t="shared" si="4"/>
        <v>0</v>
      </c>
      <c r="D46" s="642">
        <f t="shared" si="5"/>
        <v>0</v>
      </c>
      <c r="E46" s="677">
        <f t="shared" si="6"/>
        <v>0</v>
      </c>
      <c r="F46" s="680" t="str">
        <f t="shared" si="7"/>
        <v>0</v>
      </c>
      <c r="G46" s="642" t="str">
        <f t="shared" si="8"/>
        <v>0</v>
      </c>
      <c r="H46" s="642" t="str">
        <f t="shared" si="9"/>
        <v>0</v>
      </c>
      <c r="I46" s="643">
        <f t="shared" si="10"/>
        <v>0</v>
      </c>
      <c r="J46" s="678">
        <f t="shared" si="11"/>
        <v>0</v>
      </c>
    </row>
    <row r="47" spans="1:10" ht="12.75" hidden="1" x14ac:dyDescent="0.2">
      <c r="A47" s="711">
        <f t="shared" si="3"/>
        <v>0</v>
      </c>
      <c r="B47" s="712"/>
      <c r="C47" s="676">
        <f t="shared" si="4"/>
        <v>0</v>
      </c>
      <c r="D47" s="642">
        <f t="shared" si="5"/>
        <v>0</v>
      </c>
      <c r="E47" s="677">
        <f t="shared" si="6"/>
        <v>0</v>
      </c>
      <c r="F47" s="680" t="str">
        <f t="shared" si="7"/>
        <v>0</v>
      </c>
      <c r="G47" s="642" t="str">
        <f t="shared" si="8"/>
        <v>0</v>
      </c>
      <c r="H47" s="642" t="str">
        <f t="shared" si="9"/>
        <v>0</v>
      </c>
      <c r="I47" s="643">
        <f t="shared" si="10"/>
        <v>0</v>
      </c>
      <c r="J47" s="678">
        <f t="shared" si="11"/>
        <v>0</v>
      </c>
    </row>
    <row r="48" spans="1:10" ht="12.75" hidden="1" x14ac:dyDescent="0.2">
      <c r="A48" s="711">
        <f t="shared" si="3"/>
        <v>0</v>
      </c>
      <c r="B48" s="712"/>
      <c r="C48" s="676">
        <f t="shared" si="4"/>
        <v>0</v>
      </c>
      <c r="D48" s="642">
        <f t="shared" si="5"/>
        <v>0</v>
      </c>
      <c r="E48" s="677">
        <f t="shared" si="6"/>
        <v>0</v>
      </c>
      <c r="F48" s="680" t="str">
        <f t="shared" si="7"/>
        <v>0</v>
      </c>
      <c r="G48" s="642" t="str">
        <f t="shared" si="8"/>
        <v>0</v>
      </c>
      <c r="H48" s="642" t="str">
        <f t="shared" si="9"/>
        <v>0</v>
      </c>
      <c r="I48" s="643">
        <f t="shared" si="10"/>
        <v>0</v>
      </c>
      <c r="J48" s="678">
        <f t="shared" si="11"/>
        <v>0</v>
      </c>
    </row>
    <row r="49" spans="1:10" ht="24.75" hidden="1" customHeight="1" x14ac:dyDescent="0.2">
      <c r="A49" s="711">
        <f t="shared" si="3"/>
        <v>0</v>
      </c>
      <c r="B49" s="712"/>
      <c r="C49" s="676">
        <f t="shared" si="4"/>
        <v>0</v>
      </c>
      <c r="D49" s="642">
        <f t="shared" si="5"/>
        <v>0</v>
      </c>
      <c r="E49" s="677">
        <f t="shared" si="6"/>
        <v>0</v>
      </c>
      <c r="F49" s="680" t="str">
        <f t="shared" si="7"/>
        <v>0</v>
      </c>
      <c r="G49" s="642" t="str">
        <f t="shared" si="8"/>
        <v>0</v>
      </c>
      <c r="H49" s="642" t="str">
        <f t="shared" si="9"/>
        <v>0</v>
      </c>
      <c r="I49" s="643">
        <f t="shared" si="10"/>
        <v>0</v>
      </c>
      <c r="J49" s="678">
        <f t="shared" si="11"/>
        <v>0</v>
      </c>
    </row>
    <row r="50" spans="1:10" ht="12.75" hidden="1" x14ac:dyDescent="0.2">
      <c r="A50" s="711">
        <f t="shared" si="3"/>
        <v>0</v>
      </c>
      <c r="B50" s="712"/>
      <c r="C50" s="676">
        <f t="shared" si="4"/>
        <v>0</v>
      </c>
      <c r="D50" s="642">
        <f t="shared" si="5"/>
        <v>0</v>
      </c>
      <c r="E50" s="677">
        <f t="shared" si="6"/>
        <v>0</v>
      </c>
      <c r="F50" s="680" t="str">
        <f t="shared" si="7"/>
        <v>0</v>
      </c>
      <c r="G50" s="642" t="str">
        <f t="shared" si="8"/>
        <v>0</v>
      </c>
      <c r="H50" s="642" t="str">
        <f t="shared" si="9"/>
        <v>0</v>
      </c>
      <c r="I50" s="643">
        <f t="shared" si="10"/>
        <v>0</v>
      </c>
      <c r="J50" s="678">
        <f t="shared" si="11"/>
        <v>0</v>
      </c>
    </row>
    <row r="51" spans="1:10" ht="27.75" hidden="1" customHeight="1" x14ac:dyDescent="0.2">
      <c r="A51" s="771">
        <f t="shared" si="3"/>
        <v>0</v>
      </c>
      <c r="B51" s="772"/>
      <c r="C51" s="676">
        <f t="shared" si="4"/>
        <v>0</v>
      </c>
      <c r="D51" s="642">
        <f>IFERROR(I51-H51-G51,"0")</f>
        <v>0</v>
      </c>
      <c r="E51" s="677">
        <f t="shared" si="6"/>
        <v>0</v>
      </c>
      <c r="F51" s="680" t="str">
        <f t="shared" si="7"/>
        <v>0</v>
      </c>
      <c r="G51" s="642" t="str">
        <f t="shared" si="8"/>
        <v>0</v>
      </c>
      <c r="H51" s="642" t="str">
        <f t="shared" si="9"/>
        <v>0</v>
      </c>
      <c r="I51" s="643">
        <f t="shared" si="10"/>
        <v>0</v>
      </c>
      <c r="J51" s="678">
        <f t="shared" si="11"/>
        <v>0</v>
      </c>
    </row>
    <row r="52" spans="1:10" ht="12.75" hidden="1" x14ac:dyDescent="0.2">
      <c r="A52" s="711">
        <f t="shared" si="3"/>
        <v>0</v>
      </c>
      <c r="B52" s="712"/>
      <c r="C52" s="676">
        <f t="shared" si="4"/>
        <v>0</v>
      </c>
      <c r="D52" s="642">
        <f t="shared" si="5"/>
        <v>0</v>
      </c>
      <c r="E52" s="677">
        <f>C52*D52</f>
        <v>0</v>
      </c>
      <c r="F52" s="680" t="str">
        <f t="shared" si="7"/>
        <v>0</v>
      </c>
      <c r="G52" s="642" t="str">
        <f t="shared" si="8"/>
        <v>0</v>
      </c>
      <c r="H52" s="642" t="str">
        <f t="shared" si="9"/>
        <v>0</v>
      </c>
      <c r="I52" s="643">
        <f t="shared" si="10"/>
        <v>0</v>
      </c>
      <c r="J52" s="678">
        <f t="shared" si="11"/>
        <v>0</v>
      </c>
    </row>
    <row r="53" spans="1:10" ht="12.75" hidden="1" x14ac:dyDescent="0.2">
      <c r="A53" s="711">
        <f t="shared" si="3"/>
        <v>0</v>
      </c>
      <c r="B53" s="712"/>
      <c r="C53" s="676">
        <f t="shared" si="4"/>
        <v>0</v>
      </c>
      <c r="D53" s="642">
        <f t="shared" si="5"/>
        <v>0</v>
      </c>
      <c r="E53" s="677">
        <f t="shared" si="6"/>
        <v>0</v>
      </c>
      <c r="F53" s="680" t="str">
        <f t="shared" si="7"/>
        <v>0</v>
      </c>
      <c r="G53" s="642" t="str">
        <f t="shared" si="8"/>
        <v>0</v>
      </c>
      <c r="H53" s="642" t="str">
        <f t="shared" si="9"/>
        <v>0</v>
      </c>
      <c r="I53" s="643">
        <f t="shared" si="10"/>
        <v>0</v>
      </c>
      <c r="J53" s="678">
        <f t="shared" si="11"/>
        <v>0</v>
      </c>
    </row>
    <row r="54" spans="1:10" ht="12.75" hidden="1" x14ac:dyDescent="0.2">
      <c r="A54" s="711">
        <f t="shared" si="3"/>
        <v>0</v>
      </c>
      <c r="B54" s="712"/>
      <c r="C54" s="676">
        <f t="shared" si="4"/>
        <v>0</v>
      </c>
      <c r="D54" s="642">
        <f t="shared" si="5"/>
        <v>0</v>
      </c>
      <c r="E54" s="677">
        <f t="shared" si="6"/>
        <v>0</v>
      </c>
      <c r="F54" s="680" t="str">
        <f t="shared" si="7"/>
        <v>0</v>
      </c>
      <c r="G54" s="642" t="str">
        <f t="shared" si="8"/>
        <v>0</v>
      </c>
      <c r="H54" s="642" t="str">
        <f t="shared" si="9"/>
        <v>0</v>
      </c>
      <c r="I54" s="643">
        <f t="shared" si="10"/>
        <v>0</v>
      </c>
      <c r="J54" s="678">
        <f t="shared" si="11"/>
        <v>0</v>
      </c>
    </row>
    <row r="55" spans="1:10" ht="12.75" hidden="1" x14ac:dyDescent="0.2">
      <c r="A55" s="711">
        <f t="shared" si="3"/>
        <v>0</v>
      </c>
      <c r="B55" s="712"/>
      <c r="C55" s="676">
        <f t="shared" si="4"/>
        <v>0</v>
      </c>
      <c r="D55" s="642">
        <f t="shared" si="5"/>
        <v>0</v>
      </c>
      <c r="E55" s="677">
        <f t="shared" si="6"/>
        <v>0</v>
      </c>
      <c r="F55" s="680" t="str">
        <f t="shared" si="7"/>
        <v>0</v>
      </c>
      <c r="G55" s="642" t="str">
        <f t="shared" si="8"/>
        <v>0</v>
      </c>
      <c r="H55" s="642" t="str">
        <f t="shared" si="9"/>
        <v>0</v>
      </c>
      <c r="I55" s="643">
        <f t="shared" si="10"/>
        <v>0</v>
      </c>
      <c r="J55" s="678">
        <f t="shared" si="11"/>
        <v>0</v>
      </c>
    </row>
    <row r="56" spans="1:10" ht="13.5" hidden="1" thickBot="1" x14ac:dyDescent="0.25">
      <c r="A56" s="711">
        <f t="shared" si="3"/>
        <v>0</v>
      </c>
      <c r="B56" s="712"/>
      <c r="C56" s="676">
        <f t="shared" si="4"/>
        <v>0</v>
      </c>
      <c r="D56" s="642">
        <f t="shared" si="5"/>
        <v>0</v>
      </c>
      <c r="E56" s="677">
        <f t="shared" si="6"/>
        <v>0</v>
      </c>
      <c r="F56" s="680" t="str">
        <f t="shared" si="7"/>
        <v>0</v>
      </c>
      <c r="G56" s="642" t="str">
        <f t="shared" si="8"/>
        <v>0</v>
      </c>
      <c r="H56" s="642" t="str">
        <f t="shared" si="9"/>
        <v>0</v>
      </c>
      <c r="I56" s="643">
        <f t="shared" si="10"/>
        <v>0</v>
      </c>
      <c r="J56" s="684">
        <f t="shared" si="11"/>
        <v>0</v>
      </c>
    </row>
    <row r="57" spans="1:10" ht="13.5" thickBot="1" x14ac:dyDescent="0.25">
      <c r="A57" s="769" t="s">
        <v>8</v>
      </c>
      <c r="B57" s="770"/>
      <c r="C57" s="644">
        <f t="shared" ref="C57" si="12">E24</f>
        <v>3869</v>
      </c>
      <c r="D57" s="682"/>
      <c r="E57" s="645">
        <f>SUM(E37:E56)</f>
        <v>0</v>
      </c>
      <c r="F57" s="679" t="str">
        <f>IFERROR(J57/$J$57,"0")</f>
        <v>0</v>
      </c>
      <c r="G57" s="723"/>
      <c r="H57" s="724"/>
      <c r="I57" s="724"/>
      <c r="J57" s="685">
        <f>SUM(J37:J56)</f>
        <v>0</v>
      </c>
    </row>
    <row r="58" spans="1:10" ht="15.75" thickBot="1" x14ac:dyDescent="0.3">
      <c r="A58" s="646"/>
      <c r="B58" s="646"/>
      <c r="C58" s="647"/>
      <c r="D58" s="648"/>
      <c r="E58" s="648"/>
      <c r="F58" s="681"/>
      <c r="G58" s="649"/>
      <c r="H58" s="650"/>
      <c r="I58" s="650"/>
      <c r="J58" s="683"/>
    </row>
    <row r="59" spans="1:10" ht="13.5" thickBot="1" x14ac:dyDescent="0.25">
      <c r="A59" s="646"/>
      <c r="B59" s="646"/>
      <c r="C59" s="715" t="s">
        <v>276</v>
      </c>
      <c r="D59" s="716"/>
      <c r="E59" s="716"/>
      <c r="F59" s="719">
        <f>(C32+H32+E57)-J57</f>
        <v>0</v>
      </c>
      <c r="G59" s="719"/>
      <c r="H59" s="720"/>
      <c r="I59" s="650"/>
      <c r="J59" s="650"/>
    </row>
    <row r="60" spans="1:10" ht="15.75" customHeight="1" x14ac:dyDescent="0.2">
      <c r="C60" s="715" t="s">
        <v>269</v>
      </c>
      <c r="D60" s="716"/>
      <c r="E60" s="716"/>
      <c r="F60" s="719">
        <f>C32+H32+E57</f>
        <v>0</v>
      </c>
      <c r="G60" s="719"/>
      <c r="H60" s="720"/>
      <c r="I60" s="663"/>
      <c r="J60" s="628"/>
    </row>
    <row r="61" spans="1:10" ht="15" customHeight="1" thickBot="1" x14ac:dyDescent="0.25">
      <c r="C61" s="717" t="s">
        <v>278</v>
      </c>
      <c r="D61" s="718"/>
      <c r="E61" s="718"/>
      <c r="F61" s="721">
        <f>F60*12</f>
        <v>0</v>
      </c>
      <c r="G61" s="721"/>
      <c r="H61" s="722"/>
      <c r="I61" s="628"/>
      <c r="J61" s="628"/>
    </row>
    <row r="62" spans="1:10" x14ac:dyDescent="0.2">
      <c r="F62" s="652"/>
      <c r="G62" s="653"/>
      <c r="H62" s="654"/>
    </row>
    <row r="63" spans="1:10" x14ac:dyDescent="0.2">
      <c r="F63" s="652"/>
      <c r="G63" s="653"/>
      <c r="H63" s="654"/>
    </row>
    <row r="64" spans="1:10" x14ac:dyDescent="0.2">
      <c r="F64" s="652"/>
      <c r="G64" s="653"/>
      <c r="H64" s="655"/>
    </row>
    <row r="65" spans="1:10" x14ac:dyDescent="0.2">
      <c r="A65" s="652"/>
      <c r="B65" s="656"/>
      <c r="C65" s="656"/>
      <c r="D65" s="656"/>
      <c r="E65" s="651"/>
      <c r="F65" s="652"/>
      <c r="G65" s="653"/>
      <c r="H65" s="657"/>
    </row>
    <row r="66" spans="1:10" x14ac:dyDescent="0.2">
      <c r="F66" s="651"/>
      <c r="G66" s="652"/>
      <c r="H66" s="651"/>
      <c r="I66" s="651"/>
      <c r="J66" s="651"/>
    </row>
    <row r="67" spans="1:10" x14ac:dyDescent="0.2">
      <c r="F67" s="651"/>
      <c r="G67" s="652"/>
      <c r="H67" s="651"/>
      <c r="I67" s="651"/>
      <c r="J67" s="651"/>
    </row>
    <row r="68" spans="1:10" x14ac:dyDescent="0.2">
      <c r="F68" s="651"/>
      <c r="G68" s="652"/>
      <c r="H68" s="651"/>
      <c r="I68" s="651"/>
      <c r="J68" s="651"/>
    </row>
    <row r="69" spans="1:10" x14ac:dyDescent="0.2">
      <c r="F69" s="651"/>
      <c r="G69" s="652"/>
      <c r="H69" s="651"/>
      <c r="I69" s="651"/>
      <c r="J69" s="658"/>
    </row>
    <row r="70" spans="1:10" x14ac:dyDescent="0.2">
      <c r="F70" s="651"/>
      <c r="G70" s="652"/>
      <c r="H70" s="651"/>
      <c r="I70" s="651"/>
      <c r="J70" s="658"/>
    </row>
    <row r="71" spans="1:10" x14ac:dyDescent="0.2">
      <c r="F71" s="659"/>
      <c r="G71" s="652"/>
      <c r="H71" s="660"/>
      <c r="I71" s="651"/>
      <c r="J71" s="651"/>
    </row>
    <row r="83" spans="6:6" x14ac:dyDescent="0.2">
      <c r="F83" s="661"/>
    </row>
  </sheetData>
  <sheetProtection selectLockedCells="1"/>
  <mergeCells count="110">
    <mergeCell ref="I5:J5"/>
    <mergeCell ref="I6:J6"/>
    <mergeCell ref="I21:J21"/>
    <mergeCell ref="I20:J2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10:J10"/>
    <mergeCell ref="A56:B56"/>
    <mergeCell ref="A57:B57"/>
    <mergeCell ref="A36:B36"/>
    <mergeCell ref="A52:B52"/>
    <mergeCell ref="A53:B53"/>
    <mergeCell ref="A54:B54"/>
    <mergeCell ref="A55:B55"/>
    <mergeCell ref="A51:B51"/>
    <mergeCell ref="A50:B50"/>
    <mergeCell ref="A37:B37"/>
    <mergeCell ref="A38:B38"/>
    <mergeCell ref="A47:B47"/>
    <mergeCell ref="A48:B48"/>
    <mergeCell ref="A49:B49"/>
    <mergeCell ref="I4:J4"/>
    <mergeCell ref="A1:J1"/>
    <mergeCell ref="G3:H3"/>
    <mergeCell ref="I3:J3"/>
    <mergeCell ref="A22:D22"/>
    <mergeCell ref="A24:D24"/>
    <mergeCell ref="E3:F3"/>
    <mergeCell ref="E4:F4"/>
    <mergeCell ref="E5:F5"/>
    <mergeCell ref="E6:F6"/>
    <mergeCell ref="E21:F21"/>
    <mergeCell ref="E22:F22"/>
    <mergeCell ref="E24:F24"/>
    <mergeCell ref="A2:J2"/>
    <mergeCell ref="I22:J22"/>
    <mergeCell ref="I24:J24"/>
    <mergeCell ref="A23:D23"/>
    <mergeCell ref="I23:J23"/>
    <mergeCell ref="A18:D18"/>
    <mergeCell ref="A19:D19"/>
    <mergeCell ref="A20:D20"/>
    <mergeCell ref="I7:J7"/>
    <mergeCell ref="I8:J8"/>
    <mergeCell ref="I9:J9"/>
    <mergeCell ref="A3:D3"/>
    <mergeCell ref="A4:D4"/>
    <mergeCell ref="A5:D5"/>
    <mergeCell ref="A6:D6"/>
    <mergeCell ref="A21:D21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E23:F23"/>
    <mergeCell ref="E12:F12"/>
    <mergeCell ref="E13:F13"/>
    <mergeCell ref="E14:F14"/>
    <mergeCell ref="E15:F15"/>
    <mergeCell ref="E16:F16"/>
    <mergeCell ref="C60:E60"/>
    <mergeCell ref="C61:E61"/>
    <mergeCell ref="F60:H60"/>
    <mergeCell ref="F61:H61"/>
    <mergeCell ref="G57:I57"/>
    <mergeCell ref="C59:E59"/>
    <mergeCell ref="F59:H59"/>
    <mergeCell ref="H24:H25"/>
    <mergeCell ref="A35:E35"/>
    <mergeCell ref="F35:J35"/>
    <mergeCell ref="I25:J25"/>
    <mergeCell ref="I27:J27"/>
    <mergeCell ref="A25:D25"/>
    <mergeCell ref="E25:F25"/>
    <mergeCell ref="C27:D27"/>
    <mergeCell ref="A27:B28"/>
    <mergeCell ref="F27:F28"/>
    <mergeCell ref="H27:H28"/>
    <mergeCell ref="E7:F7"/>
    <mergeCell ref="E8:F8"/>
    <mergeCell ref="E9:F9"/>
    <mergeCell ref="E10:F10"/>
    <mergeCell ref="E11:F11"/>
    <mergeCell ref="E17:F17"/>
    <mergeCell ref="E18:F18"/>
    <mergeCell ref="E19:F19"/>
    <mergeCell ref="E20:F20"/>
    <mergeCell ref="C32:D32"/>
    <mergeCell ref="A39:B39"/>
    <mergeCell ref="A40:B40"/>
    <mergeCell ref="A41:B41"/>
    <mergeCell ref="A42:B42"/>
    <mergeCell ref="A43:B43"/>
    <mergeCell ref="A44:B44"/>
    <mergeCell ref="A45:B45"/>
    <mergeCell ref="A46:B46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7">
    <tabColor theme="4" tint="0.59999389629810485"/>
  </sheetPr>
  <dimension ref="A1:O56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0.5703125" style="380" customWidth="1"/>
    <col min="6" max="6" width="11.140625" style="376" customWidth="1"/>
    <col min="7" max="7" width="10.7109375" style="376" customWidth="1"/>
    <col min="8" max="8" width="5.5703125" style="376" hidden="1" customWidth="1"/>
    <col min="9" max="9" width="9.42578125" style="376" hidden="1" customWidth="1"/>
    <col min="10" max="10" width="10" style="376" hidden="1" customWidth="1"/>
    <col min="11" max="11" width="8.85546875" style="376" customWidth="1"/>
    <col min="12" max="13" width="9.140625" style="327"/>
    <col min="14" max="14" width="11.140625" style="329" bestFit="1" customWidth="1"/>
    <col min="15" max="16384" width="9.140625" style="328"/>
  </cols>
  <sheetData>
    <row r="1" spans="1:14" ht="16.5" thickBot="1" x14ac:dyDescent="0.3">
      <c r="A1" s="792" t="s">
        <v>241</v>
      </c>
      <c r="B1" s="792"/>
      <c r="C1" s="792"/>
      <c r="D1" s="792"/>
      <c r="E1" s="792"/>
      <c r="F1" s="792"/>
      <c r="G1" s="344"/>
      <c r="H1" s="315"/>
      <c r="I1" s="315"/>
      <c r="J1" s="315"/>
      <c r="K1" s="315"/>
    </row>
    <row r="2" spans="1:14" s="365" customFormat="1" ht="45" customHeight="1" x14ac:dyDescent="0.25">
      <c r="A2" s="793" t="s">
        <v>196</v>
      </c>
      <c r="B2" s="794"/>
      <c r="C2" s="509" t="s">
        <v>29</v>
      </c>
      <c r="D2" s="510" t="s">
        <v>153</v>
      </c>
      <c r="E2" s="510" t="s">
        <v>30</v>
      </c>
      <c r="F2" s="509" t="s">
        <v>31</v>
      </c>
      <c r="G2" s="509" t="s">
        <v>201</v>
      </c>
      <c r="H2" s="509" t="s">
        <v>176</v>
      </c>
      <c r="I2" s="509" t="s">
        <v>197</v>
      </c>
      <c r="J2" s="509" t="s">
        <v>199</v>
      </c>
      <c r="K2" s="511" t="s">
        <v>194</v>
      </c>
      <c r="L2" s="505" t="s">
        <v>200</v>
      </c>
      <c r="M2" s="352" t="s">
        <v>198</v>
      </c>
    </row>
    <row r="3" spans="1:14" s="326" customFormat="1" hidden="1" x14ac:dyDescent="0.25">
      <c r="A3" s="499" t="s">
        <v>33</v>
      </c>
      <c r="B3" s="498"/>
      <c r="C3" s="498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417"/>
      <c r="L3" s="506"/>
      <c r="M3" s="375"/>
      <c r="N3" s="334"/>
    </row>
    <row r="4" spans="1:14" s="326" customFormat="1" hidden="1" x14ac:dyDescent="0.25">
      <c r="A4" s="780" t="s">
        <v>34</v>
      </c>
      <c r="B4" s="781"/>
      <c r="C4" s="498"/>
      <c r="D4" s="170"/>
      <c r="E4" s="170"/>
      <c r="F4" s="199"/>
      <c r="G4" s="170"/>
      <c r="H4" s="170"/>
      <c r="I4" s="170"/>
      <c r="J4" s="170"/>
      <c r="K4" s="417"/>
      <c r="L4" s="506"/>
      <c r="M4" s="375"/>
      <c r="N4" s="334"/>
    </row>
    <row r="5" spans="1:14" s="326" customFormat="1" hidden="1" x14ac:dyDescent="0.25">
      <c r="A5" s="780" t="s">
        <v>35</v>
      </c>
      <c r="B5" s="781"/>
      <c r="C5" s="498"/>
      <c r="D5" s="170"/>
      <c r="E5" s="170"/>
      <c r="F5" s="199"/>
      <c r="G5" s="170"/>
      <c r="H5" s="170"/>
      <c r="I5" s="170"/>
      <c r="J5" s="170"/>
      <c r="K5" s="417"/>
      <c r="L5" s="506"/>
      <c r="M5" s="375"/>
      <c r="N5" s="334"/>
    </row>
    <row r="6" spans="1:14" s="326" customFormat="1" hidden="1" x14ac:dyDescent="0.25">
      <c r="A6" s="780" t="s">
        <v>36</v>
      </c>
      <c r="B6" s="781"/>
      <c r="C6" s="498"/>
      <c r="D6" s="170"/>
      <c r="E6" s="170"/>
      <c r="F6" s="199"/>
      <c r="G6" s="170"/>
      <c r="H6" s="170"/>
      <c r="I6" s="170"/>
      <c r="J6" s="170"/>
      <c r="K6" s="417"/>
      <c r="L6" s="506"/>
      <c r="M6" s="375"/>
      <c r="N6" s="334"/>
    </row>
    <row r="7" spans="1:14" s="326" customFormat="1" hidden="1" x14ac:dyDescent="0.25">
      <c r="A7" s="790" t="s">
        <v>37</v>
      </c>
      <c r="B7" s="791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417"/>
      <c r="L7" s="506"/>
      <c r="M7" s="375"/>
      <c r="N7" s="334"/>
    </row>
    <row r="8" spans="1:14" s="326" customFormat="1" hidden="1" x14ac:dyDescent="0.25">
      <c r="A8" s="512"/>
      <c r="B8" s="370"/>
      <c r="C8" s="497"/>
      <c r="D8" s="170"/>
      <c r="E8" s="170"/>
      <c r="F8" s="199"/>
      <c r="G8" s="170"/>
      <c r="H8" s="170"/>
      <c r="I8" s="170"/>
      <c r="J8" s="170"/>
      <c r="K8" s="417"/>
      <c r="L8" s="506"/>
      <c r="M8" s="375"/>
      <c r="N8" s="334"/>
    </row>
    <row r="9" spans="1:14" s="326" customFormat="1" ht="18" customHeight="1" x14ac:dyDescent="0.25">
      <c r="A9" s="780" t="s">
        <v>210</v>
      </c>
      <c r="B9" s="781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151.49000132891547</v>
      </c>
      <c r="H9" s="170">
        <f>F9/$F$18</f>
        <v>0.921343537414966</v>
      </c>
      <c r="I9" s="204">
        <f>H9*$I$35</f>
        <v>171149.66575951967</v>
      </c>
      <c r="J9" s="204">
        <f>I9+F9</f>
        <v>656557.66575951967</v>
      </c>
      <c r="K9" s="513">
        <v>151.49</v>
      </c>
      <c r="L9" s="507">
        <f>G9*C9</f>
        <v>656557.66575951967</v>
      </c>
      <c r="M9" s="323">
        <f>K9*C9</f>
        <v>656557.66</v>
      </c>
      <c r="N9" s="334"/>
    </row>
    <row r="10" spans="1:14" s="326" customFormat="1" ht="18" customHeight="1" x14ac:dyDescent="0.25">
      <c r="A10" s="780" t="s">
        <v>211</v>
      </c>
      <c r="B10" s="781"/>
      <c r="C10" s="353">
        <v>129</v>
      </c>
      <c r="D10" s="199"/>
      <c r="E10" s="199">
        <v>112</v>
      </c>
      <c r="F10" s="199">
        <f t="shared" si="0"/>
        <v>14448</v>
      </c>
      <c r="G10" s="204">
        <f>J10/C10</f>
        <v>151.49000132891547</v>
      </c>
      <c r="H10" s="170">
        <f t="shared" ref="H10:H17" si="1">F10/$F$18</f>
        <v>2.7423469387755101E-2</v>
      </c>
      <c r="I10" s="204">
        <f t="shared" ref="I10:I17" si="2">H10*$I$35</f>
        <v>5094.2101714300961</v>
      </c>
      <c r="J10" s="204">
        <f t="shared" ref="J10:J17" si="3">I10+F10</f>
        <v>19542.210171430095</v>
      </c>
      <c r="K10" s="513">
        <v>151.49</v>
      </c>
      <c r="L10" s="507">
        <f t="shared" ref="L10:L17" si="4">K10*C10</f>
        <v>19542.210000000003</v>
      </c>
      <c r="M10" s="323">
        <f t="shared" ref="M10:M17" si="5">K10*C10</f>
        <v>19542.210000000003</v>
      </c>
      <c r="N10" s="334"/>
    </row>
    <row r="11" spans="1:14" s="326" customFormat="1" ht="18" customHeight="1" x14ac:dyDescent="0.25">
      <c r="A11" s="780" t="s">
        <v>212</v>
      </c>
      <c r="B11" s="781"/>
      <c r="C11" s="353">
        <v>241</v>
      </c>
      <c r="D11" s="199"/>
      <c r="E11" s="199">
        <v>112</v>
      </c>
      <c r="F11" s="199">
        <f t="shared" si="0"/>
        <v>26992</v>
      </c>
      <c r="G11" s="204">
        <f>J11/C11</f>
        <v>151.49000132891547</v>
      </c>
      <c r="H11" s="170">
        <f t="shared" si="1"/>
        <v>5.1232993197278913E-2</v>
      </c>
      <c r="I11" s="204">
        <f t="shared" si="2"/>
        <v>9517.0903202686295</v>
      </c>
      <c r="J11" s="204">
        <f t="shared" si="3"/>
        <v>36509.090320268631</v>
      </c>
      <c r="K11" s="513">
        <v>151.49</v>
      </c>
      <c r="L11" s="507">
        <f t="shared" si="4"/>
        <v>36509.090000000004</v>
      </c>
      <c r="M11" s="323">
        <f t="shared" si="5"/>
        <v>36509.090000000004</v>
      </c>
      <c r="N11" s="334"/>
    </row>
    <row r="12" spans="1:14" s="326" customFormat="1" ht="8.1" hidden="1" customHeight="1" x14ac:dyDescent="0.25">
      <c r="A12" s="322"/>
      <c r="B12" s="514"/>
      <c r="C12" s="353"/>
      <c r="D12" s="199"/>
      <c r="E12" s="199"/>
      <c r="F12" s="320">
        <f t="shared" si="0"/>
        <v>0</v>
      </c>
      <c r="G12" s="515"/>
      <c r="H12" s="318">
        <f t="shared" si="1"/>
        <v>0</v>
      </c>
      <c r="I12" s="516">
        <f t="shared" si="2"/>
        <v>0</v>
      </c>
      <c r="J12" s="513">
        <f t="shared" si="3"/>
        <v>0</v>
      </c>
      <c r="K12" s="517"/>
      <c r="L12" s="507">
        <f t="shared" si="4"/>
        <v>0</v>
      </c>
      <c r="M12" s="323">
        <f t="shared" si="5"/>
        <v>0</v>
      </c>
      <c r="N12" s="334"/>
    </row>
    <row r="13" spans="1:14" s="326" customFormat="1" ht="8.1" hidden="1" customHeight="1" x14ac:dyDescent="0.25">
      <c r="A13" s="322"/>
      <c r="B13" s="514"/>
      <c r="C13" s="354"/>
      <c r="D13" s="199"/>
      <c r="E13" s="199"/>
      <c r="F13" s="320">
        <f t="shared" si="0"/>
        <v>0</v>
      </c>
      <c r="G13" s="515"/>
      <c r="H13" s="318">
        <f t="shared" si="1"/>
        <v>0</v>
      </c>
      <c r="I13" s="516">
        <f t="shared" si="2"/>
        <v>0</v>
      </c>
      <c r="J13" s="513">
        <f t="shared" si="3"/>
        <v>0</v>
      </c>
      <c r="K13" s="517"/>
      <c r="L13" s="507">
        <f t="shared" si="4"/>
        <v>0</v>
      </c>
      <c r="M13" s="323">
        <f t="shared" si="5"/>
        <v>0</v>
      </c>
      <c r="N13" s="334"/>
    </row>
    <row r="14" spans="1:14" s="326" customFormat="1" ht="8.1" hidden="1" customHeight="1" x14ac:dyDescent="0.25">
      <c r="A14" s="322"/>
      <c r="B14" s="514"/>
      <c r="C14" s="353"/>
      <c r="D14" s="199"/>
      <c r="E14" s="199"/>
      <c r="F14" s="320">
        <f t="shared" si="0"/>
        <v>0</v>
      </c>
      <c r="G14" s="515"/>
      <c r="H14" s="318">
        <f t="shared" si="1"/>
        <v>0</v>
      </c>
      <c r="I14" s="516">
        <f t="shared" si="2"/>
        <v>0</v>
      </c>
      <c r="J14" s="513">
        <f t="shared" si="3"/>
        <v>0</v>
      </c>
      <c r="K14" s="517"/>
      <c r="L14" s="507">
        <f t="shared" si="4"/>
        <v>0</v>
      </c>
      <c r="M14" s="323">
        <f t="shared" si="5"/>
        <v>0</v>
      </c>
      <c r="N14" s="334"/>
    </row>
    <row r="15" spans="1:14" s="326" customFormat="1" ht="8.1" hidden="1" customHeight="1" x14ac:dyDescent="0.25">
      <c r="A15" s="782" t="s">
        <v>191</v>
      </c>
      <c r="B15" s="783"/>
      <c r="C15" s="353"/>
      <c r="D15" s="199"/>
      <c r="E15" s="199"/>
      <c r="F15" s="320">
        <f t="shared" si="0"/>
        <v>0</v>
      </c>
      <c r="G15" s="515"/>
      <c r="H15" s="318">
        <f t="shared" si="1"/>
        <v>0</v>
      </c>
      <c r="I15" s="516">
        <f t="shared" si="2"/>
        <v>0</v>
      </c>
      <c r="J15" s="513">
        <f t="shared" si="3"/>
        <v>0</v>
      </c>
      <c r="K15" s="517"/>
      <c r="L15" s="507">
        <f t="shared" si="4"/>
        <v>0</v>
      </c>
      <c r="M15" s="323">
        <f t="shared" si="5"/>
        <v>0</v>
      </c>
      <c r="N15" s="334"/>
    </row>
    <row r="16" spans="1:14" s="326" customFormat="1" ht="8.1" hidden="1" customHeight="1" x14ac:dyDescent="0.25">
      <c r="A16" s="782" t="s">
        <v>192</v>
      </c>
      <c r="B16" s="783"/>
      <c r="C16" s="353"/>
      <c r="D16" s="199"/>
      <c r="E16" s="199"/>
      <c r="F16" s="320">
        <f t="shared" si="0"/>
        <v>0</v>
      </c>
      <c r="G16" s="515"/>
      <c r="H16" s="318">
        <f t="shared" si="1"/>
        <v>0</v>
      </c>
      <c r="I16" s="516">
        <f t="shared" si="2"/>
        <v>0</v>
      </c>
      <c r="J16" s="513">
        <f t="shared" si="3"/>
        <v>0</v>
      </c>
      <c r="K16" s="517"/>
      <c r="L16" s="507">
        <f t="shared" si="4"/>
        <v>0</v>
      </c>
      <c r="M16" s="323">
        <f t="shared" si="5"/>
        <v>0</v>
      </c>
      <c r="N16" s="334"/>
    </row>
    <row r="17" spans="1:14" s="326" customFormat="1" ht="8.1" hidden="1" customHeight="1" x14ac:dyDescent="0.25">
      <c r="A17" s="782" t="s">
        <v>193</v>
      </c>
      <c r="B17" s="783"/>
      <c r="C17" s="353"/>
      <c r="D17" s="199"/>
      <c r="E17" s="199"/>
      <c r="F17" s="320">
        <f t="shared" si="0"/>
        <v>0</v>
      </c>
      <c r="G17" s="515"/>
      <c r="H17" s="318">
        <f t="shared" si="1"/>
        <v>0</v>
      </c>
      <c r="I17" s="516">
        <f t="shared" si="2"/>
        <v>0</v>
      </c>
      <c r="J17" s="513">
        <f t="shared" si="3"/>
        <v>0</v>
      </c>
      <c r="K17" s="518"/>
      <c r="L17" s="507">
        <f t="shared" si="4"/>
        <v>0</v>
      </c>
      <c r="M17" s="323">
        <f t="shared" si="5"/>
        <v>0</v>
      </c>
      <c r="N17" s="334"/>
    </row>
    <row r="18" spans="1:14" s="326" customFormat="1" ht="17.25" customHeight="1" thickBot="1" x14ac:dyDescent="0.25">
      <c r="A18" s="784" t="s">
        <v>8</v>
      </c>
      <c r="B18" s="785"/>
      <c r="C18" s="519"/>
      <c r="D18" s="520">
        <f>SUM(D9:D17)</f>
        <v>0</v>
      </c>
      <c r="E18" s="520"/>
      <c r="F18" s="594">
        <f>SUM(F9:F17)</f>
        <v>526848</v>
      </c>
      <c r="G18" s="552"/>
      <c r="H18" s="553">
        <f>SUM(H9:H17)</f>
        <v>1</v>
      </c>
      <c r="I18" s="521">
        <f>SUM(I9:I17)</f>
        <v>185760.9662512184</v>
      </c>
      <c r="J18" s="522">
        <f>I18+F18</f>
        <v>712608.96625121846</v>
      </c>
      <c r="K18" s="554"/>
      <c r="L18" s="508">
        <f>SUM(L9:L17)</f>
        <v>712608.9657595196</v>
      </c>
      <c r="M18" s="339">
        <f>SUM(M9:M17)</f>
        <v>712608.96</v>
      </c>
      <c r="N18" s="340">
        <f>L18-M18</f>
        <v>5.7595196412876248E-3</v>
      </c>
    </row>
    <row r="19" spans="1:14" s="326" customFormat="1" hidden="1" x14ac:dyDescent="0.25">
      <c r="A19" s="523"/>
      <c r="B19" s="356"/>
      <c r="C19" s="357"/>
      <c r="D19" s="357"/>
      <c r="E19" s="358"/>
      <c r="F19" s="358"/>
      <c r="G19" s="358"/>
      <c r="H19" s="359"/>
      <c r="I19" s="207"/>
      <c r="J19" s="359"/>
      <c r="K19" s="524"/>
      <c r="L19" s="324"/>
      <c r="M19" s="324"/>
      <c r="N19" s="334"/>
    </row>
    <row r="20" spans="1:14" s="326" customFormat="1" hidden="1" x14ac:dyDescent="0.25">
      <c r="A20" s="322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319"/>
      <c r="L20" s="324"/>
      <c r="M20" s="324"/>
      <c r="N20" s="334"/>
    </row>
    <row r="21" spans="1:14" s="326" customFormat="1" hidden="1" x14ac:dyDescent="0.25">
      <c r="A21" s="322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319"/>
      <c r="L21" s="324"/>
      <c r="M21" s="324"/>
      <c r="N21" s="334"/>
    </row>
    <row r="22" spans="1:14" s="326" customFormat="1" hidden="1" x14ac:dyDescent="0.25">
      <c r="A22" s="322"/>
      <c r="B22" s="205"/>
      <c r="C22" s="198"/>
      <c r="D22" s="198"/>
      <c r="E22" s="170"/>
      <c r="F22" s="199"/>
      <c r="G22" s="199"/>
      <c r="H22" s="170"/>
      <c r="I22" s="207"/>
      <c r="J22" s="170"/>
      <c r="K22" s="319"/>
      <c r="L22" s="324"/>
      <c r="M22" s="324"/>
      <c r="N22" s="334"/>
    </row>
    <row r="23" spans="1:14" s="326" customFormat="1" hidden="1" x14ac:dyDescent="0.25">
      <c r="A23" s="322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319"/>
      <c r="L23" s="324"/>
      <c r="M23" s="324"/>
      <c r="N23" s="334"/>
    </row>
    <row r="24" spans="1:14" s="326" customFormat="1" hidden="1" x14ac:dyDescent="0.25">
      <c r="A24" s="780" t="s">
        <v>52</v>
      </c>
      <c r="B24" s="781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319"/>
      <c r="L24" s="324"/>
      <c r="M24" s="324"/>
      <c r="N24" s="334"/>
    </row>
    <row r="25" spans="1:14" s="326" customFormat="1" hidden="1" x14ac:dyDescent="0.25">
      <c r="A25" s="322"/>
      <c r="B25" s="205"/>
      <c r="C25" s="198"/>
      <c r="D25" s="198"/>
      <c r="E25" s="170"/>
      <c r="F25" s="199"/>
      <c r="G25" s="199"/>
      <c r="H25" s="170"/>
      <c r="I25" s="207"/>
      <c r="J25" s="170"/>
      <c r="K25" s="319"/>
      <c r="L25" s="324"/>
      <c r="M25" s="324"/>
      <c r="N25" s="334"/>
    </row>
    <row r="26" spans="1:14" hidden="1" x14ac:dyDescent="0.25">
      <c r="A26" s="786"/>
      <c r="B26" s="787"/>
      <c r="C26" s="209"/>
      <c r="D26" s="209"/>
      <c r="E26" s="210"/>
      <c r="F26" s="171"/>
      <c r="G26" s="171"/>
      <c r="H26" s="170"/>
      <c r="I26" s="316"/>
      <c r="J26" s="170"/>
      <c r="K26" s="319"/>
    </row>
    <row r="27" spans="1:14" hidden="1" x14ac:dyDescent="0.25">
      <c r="A27" s="786" t="s">
        <v>8</v>
      </c>
      <c r="B27" s="787"/>
      <c r="C27" s="209"/>
      <c r="D27" s="209"/>
      <c r="E27" s="210"/>
      <c r="F27" s="171"/>
      <c r="G27" s="215"/>
      <c r="H27" s="304"/>
      <c r="I27" s="304"/>
      <c r="J27" s="360"/>
      <c r="K27" s="525"/>
    </row>
    <row r="28" spans="1:14" ht="12.75" customHeight="1" x14ac:dyDescent="0.25">
      <c r="A28" s="526"/>
      <c r="B28" s="212"/>
      <c r="C28" s="213"/>
      <c r="D28" s="213"/>
      <c r="E28" s="214"/>
      <c r="F28" s="215"/>
      <c r="G28" s="215"/>
      <c r="H28" s="215"/>
      <c r="I28" s="215"/>
      <c r="J28" s="363"/>
      <c r="K28" s="527"/>
    </row>
    <row r="29" spans="1:14" ht="18" customHeight="1" x14ac:dyDescent="0.25">
      <c r="A29" s="528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527"/>
    </row>
    <row r="30" spans="1:14" ht="14.1" customHeight="1" x14ac:dyDescent="0.25">
      <c r="A30" s="528" t="s">
        <v>12</v>
      </c>
      <c r="B30" s="216"/>
      <c r="C30" s="495"/>
      <c r="D30" s="495"/>
      <c r="E30" s="221" t="s">
        <v>13</v>
      </c>
      <c r="F30" s="173" t="s">
        <v>13</v>
      </c>
      <c r="G30" s="364"/>
      <c r="H30" s="215"/>
      <c r="I30" s="215"/>
      <c r="J30" s="215"/>
      <c r="K30" s="527"/>
    </row>
    <row r="31" spans="1:14" ht="14.1" customHeight="1" x14ac:dyDescent="0.25">
      <c r="A31" s="528" t="s">
        <v>54</v>
      </c>
      <c r="B31" s="348">
        <v>0.11938145999999999</v>
      </c>
      <c r="C31" s="223"/>
      <c r="D31" s="223"/>
      <c r="E31" s="171">
        <f>F31</f>
        <v>62895.883438079996</v>
      </c>
      <c r="F31" s="171">
        <f>B31*F18</f>
        <v>62895.883438079996</v>
      </c>
      <c r="G31" s="215"/>
      <c r="H31" s="215"/>
      <c r="I31" s="225"/>
      <c r="J31" s="225"/>
      <c r="K31" s="529"/>
    </row>
    <row r="32" spans="1:14" ht="14.1" customHeight="1" x14ac:dyDescent="0.25">
      <c r="A32" s="528" t="s">
        <v>15</v>
      </c>
      <c r="B32" s="348">
        <v>4.2706999999999997E-3</v>
      </c>
      <c r="C32" s="495"/>
      <c r="D32" s="495"/>
      <c r="E32" s="171">
        <f>F32</f>
        <v>2250.0097535999998</v>
      </c>
      <c r="F32" s="171">
        <f>B32*F18</f>
        <v>2250.0097535999998</v>
      </c>
      <c r="G32" s="215"/>
      <c r="H32" s="215"/>
      <c r="I32" s="226"/>
      <c r="J32" s="226"/>
      <c r="K32" s="530"/>
    </row>
    <row r="33" spans="1:15" ht="14.1" customHeight="1" x14ac:dyDescent="0.25">
      <c r="A33" s="528" t="s">
        <v>55</v>
      </c>
      <c r="B33" s="348">
        <v>0.1</v>
      </c>
      <c r="C33" s="223"/>
      <c r="D33" s="223"/>
      <c r="E33" s="171">
        <f>F33</f>
        <v>58974.388343808001</v>
      </c>
      <c r="F33" s="171">
        <f>(F18+F31)*B33</f>
        <v>58974.388343808001</v>
      </c>
      <c r="G33" s="215"/>
      <c r="H33" s="301"/>
      <c r="I33" s="343"/>
      <c r="J33" s="228"/>
      <c r="K33" s="531"/>
      <c r="L33" s="336"/>
      <c r="M33" s="336"/>
    </row>
    <row r="34" spans="1:15" ht="14.1" customHeight="1" x14ac:dyDescent="0.25">
      <c r="A34" s="528" t="s">
        <v>17</v>
      </c>
      <c r="B34" s="495"/>
      <c r="C34" s="495"/>
      <c r="D34" s="495"/>
      <c r="E34" s="171">
        <f>SUM(E31:E33)</f>
        <v>124120.281535488</v>
      </c>
      <c r="F34" s="595">
        <f>SUM(F31:F33)</f>
        <v>124120.281535488</v>
      </c>
      <c r="G34" s="215"/>
      <c r="H34" s="215"/>
      <c r="I34" s="215"/>
      <c r="J34" s="362"/>
      <c r="K34" s="527"/>
      <c r="L34" s="336"/>
      <c r="M34" s="336"/>
    </row>
    <row r="35" spans="1:15" ht="14.1" customHeight="1" x14ac:dyDescent="0.25">
      <c r="A35" s="528"/>
      <c r="B35" s="495"/>
      <c r="C35" s="495"/>
      <c r="D35" s="495"/>
      <c r="E35" s="171"/>
      <c r="F35" s="171"/>
      <c r="G35" s="215"/>
      <c r="H35" s="215"/>
      <c r="I35" s="383">
        <f>F34+F40</f>
        <v>185760.9662512184</v>
      </c>
      <c r="J35" s="215"/>
      <c r="K35" s="527"/>
      <c r="L35" s="341"/>
      <c r="M35" s="341"/>
    </row>
    <row r="36" spans="1:15" ht="14.1" customHeight="1" x14ac:dyDescent="0.25">
      <c r="A36" s="528" t="s">
        <v>18</v>
      </c>
      <c r="B36" s="495"/>
      <c r="C36" s="495"/>
      <c r="D36" s="495"/>
      <c r="E36" s="173" t="s">
        <v>13</v>
      </c>
      <c r="F36" s="171"/>
      <c r="G36" s="215"/>
      <c r="H36" s="215"/>
      <c r="I36" s="215"/>
      <c r="J36" s="215"/>
      <c r="K36" s="527"/>
      <c r="L36" s="341"/>
      <c r="M36" s="341"/>
    </row>
    <row r="37" spans="1:15" ht="14.1" customHeight="1" x14ac:dyDescent="0.25">
      <c r="A37" s="528" t="s">
        <v>19</v>
      </c>
      <c r="B37" s="227">
        <v>6.4999999999999997E-3</v>
      </c>
      <c r="C37" s="227"/>
      <c r="D37" s="227"/>
      <c r="E37" s="407">
        <v>4794.47</v>
      </c>
      <c r="F37" s="171">
        <f>B37*$E$44</f>
        <v>4631.9582156329188</v>
      </c>
      <c r="G37" s="215"/>
      <c r="H37" s="215"/>
      <c r="I37" s="215"/>
      <c r="J37" s="215"/>
      <c r="K37" s="527"/>
      <c r="L37" s="341"/>
      <c r="M37" s="341"/>
    </row>
    <row r="38" spans="1:15" ht="14.1" customHeight="1" x14ac:dyDescent="0.25">
      <c r="A38" s="528" t="s">
        <v>20</v>
      </c>
      <c r="B38" s="227">
        <v>0.03</v>
      </c>
      <c r="C38" s="229"/>
      <c r="D38" s="229"/>
      <c r="E38" s="407">
        <v>22128.34</v>
      </c>
      <c r="F38" s="171">
        <f t="shared" ref="F38" si="6">B38*$E$44</f>
        <v>21378.268687536551</v>
      </c>
      <c r="G38" s="215"/>
      <c r="H38" s="215"/>
      <c r="I38" s="215"/>
      <c r="J38" s="215"/>
      <c r="K38" s="527"/>
      <c r="L38" s="341"/>
      <c r="M38" s="341"/>
    </row>
    <row r="39" spans="1:15" ht="14.1" customHeight="1" x14ac:dyDescent="0.25">
      <c r="A39" s="528" t="s">
        <v>21</v>
      </c>
      <c r="B39" s="227">
        <v>0.05</v>
      </c>
      <c r="C39" s="229"/>
      <c r="D39" s="229"/>
      <c r="E39" s="407">
        <v>36880.57</v>
      </c>
      <c r="F39" s="363">
        <f>B39*$E$44</f>
        <v>35630.447812560917</v>
      </c>
      <c r="G39" s="461" t="s">
        <v>25</v>
      </c>
      <c r="H39" s="224"/>
      <c r="I39" s="224"/>
      <c r="J39" s="215"/>
      <c r="K39" s="527"/>
      <c r="L39" s="341"/>
      <c r="M39" s="341"/>
    </row>
    <row r="40" spans="1:15" ht="14.1" customHeight="1" x14ac:dyDescent="0.25">
      <c r="A40" s="528" t="s">
        <v>17</v>
      </c>
      <c r="B40" s="596">
        <f>SUM(B37:B39)</f>
        <v>8.6499999999999994E-2</v>
      </c>
      <c r="C40" s="227"/>
      <c r="D40" s="227"/>
      <c r="E40" s="407">
        <f>SUM(E37:E39)+0.01</f>
        <v>63803.390000000007</v>
      </c>
      <c r="F40" s="593">
        <f>SUM(F37:F39)+0.01</f>
        <v>61640.684715730393</v>
      </c>
      <c r="G40" s="533">
        <f>E40-F40</f>
        <v>2162.7052842696139</v>
      </c>
      <c r="H40" s="224"/>
      <c r="I40" s="224"/>
      <c r="J40" s="215"/>
      <c r="K40" s="527"/>
      <c r="L40" s="341"/>
      <c r="M40" s="341"/>
    </row>
    <row r="41" spans="1:15" s="502" customFormat="1" ht="8.1" hidden="1" customHeight="1" x14ac:dyDescent="0.25">
      <c r="A41" s="788" t="s">
        <v>58</v>
      </c>
      <c r="B41" s="789"/>
      <c r="C41" s="534"/>
      <c r="D41" s="534"/>
      <c r="E41" s="535">
        <f>F18+E34</f>
        <v>650968.28153548797</v>
      </c>
      <c r="F41" s="536"/>
      <c r="G41" s="537"/>
      <c r="H41" s="538"/>
      <c r="I41" s="538"/>
      <c r="J41" s="536"/>
      <c r="K41" s="539"/>
      <c r="L41" s="500"/>
      <c r="M41" s="500"/>
      <c r="N41" s="501"/>
    </row>
    <row r="42" spans="1:15" s="502" customFormat="1" ht="8.1" hidden="1" customHeight="1" x14ac:dyDescent="0.25">
      <c r="A42" s="773" t="s">
        <v>59</v>
      </c>
      <c r="B42" s="774"/>
      <c r="C42" s="540"/>
      <c r="D42" s="540"/>
      <c r="E42" s="541">
        <f>F18+F34</f>
        <v>650968.28153548797</v>
      </c>
      <c r="F42" s="536"/>
      <c r="G42" s="537"/>
      <c r="H42" s="538"/>
      <c r="I42" s="538"/>
      <c r="J42" s="536"/>
      <c r="K42" s="539"/>
      <c r="L42" s="503"/>
      <c r="M42" s="503"/>
      <c r="N42" s="504"/>
      <c r="O42" s="501"/>
    </row>
    <row r="43" spans="1:15" s="502" customFormat="1" ht="8.1" hidden="1" customHeight="1" x14ac:dyDescent="0.25">
      <c r="A43" s="542"/>
      <c r="B43" s="543"/>
      <c r="C43" s="540"/>
      <c r="D43" s="540"/>
      <c r="E43" s="537">
        <f>E42/(1-B40)</f>
        <v>712608.95625121833</v>
      </c>
      <c r="F43" s="536"/>
      <c r="G43" s="537"/>
      <c r="H43" s="538"/>
      <c r="I43" s="538"/>
      <c r="J43" s="536"/>
      <c r="K43" s="539"/>
      <c r="L43" s="503"/>
      <c r="M43" s="503"/>
      <c r="N43" s="504"/>
      <c r="O43" s="501"/>
    </row>
    <row r="44" spans="1:15" s="502" customFormat="1" ht="8.1" hidden="1" customHeight="1" x14ac:dyDescent="0.25">
      <c r="A44" s="773" t="s">
        <v>60</v>
      </c>
      <c r="B44" s="774"/>
      <c r="C44" s="540"/>
      <c r="D44" s="540"/>
      <c r="E44" s="532">
        <f>E42/(1-B40)</f>
        <v>712608.95625121833</v>
      </c>
      <c r="F44" s="536"/>
      <c r="G44" s="537"/>
      <c r="H44" s="538"/>
      <c r="I44" s="538"/>
      <c r="J44" s="536"/>
      <c r="K44" s="539"/>
      <c r="L44" s="503"/>
      <c r="M44" s="503"/>
      <c r="N44" s="504"/>
      <c r="O44" s="501"/>
    </row>
    <row r="45" spans="1:15" s="331" customFormat="1" ht="14.1" customHeight="1" x14ac:dyDescent="0.25">
      <c r="A45" s="775" t="s">
        <v>24</v>
      </c>
      <c r="B45" s="776"/>
      <c r="C45" s="495"/>
      <c r="D45" s="495"/>
      <c r="E45" s="173" t="s">
        <v>10</v>
      </c>
      <c r="F45" s="544" t="s">
        <v>144</v>
      </c>
      <c r="G45" s="461" t="s">
        <v>25</v>
      </c>
      <c r="H45" s="545"/>
      <c r="I45" s="545"/>
      <c r="J45" s="364"/>
      <c r="K45" s="546"/>
      <c r="L45" s="336"/>
      <c r="M45" s="336"/>
      <c r="N45" s="325"/>
      <c r="O45" s="333"/>
    </row>
    <row r="46" spans="1:15" ht="14.1" customHeight="1" x14ac:dyDescent="0.25">
      <c r="A46" s="775" t="s">
        <v>26</v>
      </c>
      <c r="B46" s="776"/>
      <c r="C46" s="495"/>
      <c r="D46" s="495"/>
      <c r="E46" s="407">
        <f>F18+E34+E40</f>
        <v>714771.67153548799</v>
      </c>
      <c r="F46" s="597">
        <f>F18+F34+F40</f>
        <v>712608.96625121834</v>
      </c>
      <c r="G46" s="533">
        <f t="shared" ref="G46:G47" si="7">E46-F46</f>
        <v>2162.705284269643</v>
      </c>
      <c r="H46" s="224">
        <f>E44-F46</f>
        <v>-1.0000000009313226E-2</v>
      </c>
      <c r="I46" s="224"/>
      <c r="J46" s="215"/>
      <c r="K46" s="527"/>
      <c r="L46" s="335"/>
      <c r="M46" s="335"/>
      <c r="O46" s="329"/>
    </row>
    <row r="47" spans="1:15" ht="14.1" customHeight="1" thickBot="1" x14ac:dyDescent="0.3">
      <c r="A47" s="777" t="s">
        <v>27</v>
      </c>
      <c r="B47" s="778"/>
      <c r="C47" s="547"/>
      <c r="D47" s="547"/>
      <c r="E47" s="548">
        <f>E46*12</f>
        <v>8577260.0584258549</v>
      </c>
      <c r="F47" s="598">
        <f>F46*12+0.04</f>
        <v>8551307.6350146197</v>
      </c>
      <c r="G47" s="599">
        <f t="shared" si="7"/>
        <v>25952.423411235213</v>
      </c>
      <c r="H47" s="549"/>
      <c r="I47" s="549"/>
      <c r="J47" s="550"/>
      <c r="K47" s="551"/>
    </row>
    <row r="48" spans="1:15" ht="33.75" customHeight="1" x14ac:dyDescent="0.25">
      <c r="A48" s="779"/>
      <c r="B48" s="779"/>
      <c r="C48" s="779"/>
      <c r="D48" s="779"/>
      <c r="E48" s="779"/>
      <c r="F48" s="779"/>
      <c r="G48" s="779"/>
      <c r="H48" s="779"/>
      <c r="I48" s="779"/>
      <c r="J48" s="779"/>
      <c r="K48" s="779"/>
      <c r="L48" s="779"/>
    </row>
    <row r="49" spans="1:13" x14ac:dyDescent="0.25">
      <c r="A49" s="305"/>
      <c r="B49" s="305"/>
      <c r="C49" s="306"/>
      <c r="D49" s="306"/>
      <c r="E49" s="231"/>
      <c r="F49" s="231"/>
      <c r="G49" s="231"/>
      <c r="H49" s="231"/>
      <c r="I49" s="231"/>
      <c r="J49" s="231"/>
      <c r="K49" s="231"/>
    </row>
    <row r="50" spans="1:13" x14ac:dyDescent="0.25">
      <c r="E50" s="379">
        <f>E51-E46</f>
        <v>-584021.67153548799</v>
      </c>
      <c r="H50" s="379"/>
      <c r="I50" s="379"/>
      <c r="J50" s="379"/>
      <c r="K50" s="379"/>
    </row>
    <row r="51" spans="1:13" x14ac:dyDescent="0.25">
      <c r="E51" s="376">
        <v>130750</v>
      </c>
    </row>
    <row r="52" spans="1:13" x14ac:dyDescent="0.25">
      <c r="E52" s="376"/>
      <c r="H52" s="376">
        <v>10880.85</v>
      </c>
    </row>
    <row r="53" spans="1:13" x14ac:dyDescent="0.25">
      <c r="A53" s="328"/>
      <c r="B53" s="328"/>
      <c r="C53" s="328"/>
      <c r="D53" s="328"/>
      <c r="E53" s="376"/>
      <c r="H53" s="376">
        <v>21776.77</v>
      </c>
      <c r="I53" s="328"/>
      <c r="J53" s="328"/>
      <c r="K53" s="328"/>
      <c r="L53" s="328"/>
      <c r="M53" s="328"/>
    </row>
    <row r="54" spans="1:13" x14ac:dyDescent="0.25">
      <c r="A54" s="328"/>
      <c r="B54" s="328"/>
      <c r="C54" s="328"/>
      <c r="D54" s="328"/>
      <c r="E54" s="376"/>
      <c r="H54" s="376">
        <v>45140.71</v>
      </c>
      <c r="I54" s="328"/>
      <c r="J54" s="328"/>
      <c r="K54" s="328"/>
      <c r="L54" s="328"/>
      <c r="M54" s="328"/>
    </row>
    <row r="55" spans="1:13" x14ac:dyDescent="0.25">
      <c r="A55" s="328"/>
      <c r="B55" s="328"/>
      <c r="C55" s="328"/>
      <c r="D55" s="328"/>
      <c r="E55" s="376"/>
      <c r="H55" s="376">
        <v>25176.81</v>
      </c>
      <c r="I55" s="328"/>
      <c r="J55" s="328"/>
      <c r="K55" s="328"/>
      <c r="L55" s="328"/>
      <c r="M55" s="328"/>
    </row>
    <row r="56" spans="1:13" x14ac:dyDescent="0.25">
      <c r="A56" s="328"/>
      <c r="B56" s="328"/>
      <c r="C56" s="328"/>
      <c r="D56" s="328"/>
      <c r="H56" s="376">
        <f>SUM(H52:H55)</f>
        <v>102975.14</v>
      </c>
      <c r="I56" s="328"/>
      <c r="J56" s="328"/>
      <c r="K56" s="328"/>
      <c r="L56" s="328"/>
      <c r="M56" s="328"/>
    </row>
  </sheetData>
  <mergeCells count="23">
    <mergeCell ref="A7:B7"/>
    <mergeCell ref="A1:F1"/>
    <mergeCell ref="A2:B2"/>
    <mergeCell ref="A4:B4"/>
    <mergeCell ref="A5:B5"/>
    <mergeCell ref="A6:B6"/>
    <mergeCell ref="A42:B42"/>
    <mergeCell ref="A9:B9"/>
    <mergeCell ref="A10:B10"/>
    <mergeCell ref="A11:B11"/>
    <mergeCell ref="A15:B15"/>
    <mergeCell ref="A16:B16"/>
    <mergeCell ref="A17:B17"/>
    <mergeCell ref="A18:B18"/>
    <mergeCell ref="A24:B24"/>
    <mergeCell ref="A26:B26"/>
    <mergeCell ref="A27:B27"/>
    <mergeCell ref="A41:B41"/>
    <mergeCell ref="A44:B44"/>
    <mergeCell ref="A45:B45"/>
    <mergeCell ref="A46:B46"/>
    <mergeCell ref="A47:B47"/>
    <mergeCell ref="A48:L48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theme="4" tint="0.59999389629810485"/>
  </sheetPr>
  <dimension ref="A1:P58"/>
  <sheetViews>
    <sheetView topLeftCell="A31"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2" style="380" customWidth="1"/>
    <col min="6" max="6" width="11.85546875" style="376" customWidth="1"/>
    <col min="7" max="7" width="9.5703125" style="376" customWidth="1"/>
    <col min="8" max="8" width="7.85546875" style="376" hidden="1" customWidth="1"/>
    <col min="9" max="10" width="10" style="376" hidden="1" customWidth="1"/>
    <col min="11" max="11" width="8" style="376" customWidth="1"/>
    <col min="12" max="12" width="8.5703125" style="327" customWidth="1"/>
    <col min="13" max="14" width="9.140625" style="327"/>
    <col min="15" max="15" width="11.140625" style="329" bestFit="1" customWidth="1"/>
    <col min="16" max="16384" width="9.140625" style="328"/>
  </cols>
  <sheetData>
    <row r="1" spans="1:15" ht="16.5" thickBot="1" x14ac:dyDescent="0.3">
      <c r="A1" s="792" t="s">
        <v>209</v>
      </c>
      <c r="B1" s="792"/>
      <c r="C1" s="792"/>
      <c r="D1" s="792"/>
      <c r="E1" s="792"/>
      <c r="F1" s="792"/>
      <c r="G1" s="344"/>
      <c r="H1" s="315"/>
      <c r="I1" s="315"/>
      <c r="J1" s="315"/>
      <c r="K1" s="315"/>
    </row>
    <row r="2" spans="1:15" s="365" customFormat="1" ht="41.25" customHeight="1" x14ac:dyDescent="0.25">
      <c r="A2" s="795" t="s">
        <v>28</v>
      </c>
      <c r="B2" s="795"/>
      <c r="C2" s="381" t="s">
        <v>29</v>
      </c>
      <c r="D2" s="382" t="s">
        <v>153</v>
      </c>
      <c r="E2" s="382" t="s">
        <v>30</v>
      </c>
      <c r="F2" s="381" t="s">
        <v>31</v>
      </c>
      <c r="G2" s="381" t="s">
        <v>201</v>
      </c>
      <c r="H2" s="381" t="s">
        <v>176</v>
      </c>
      <c r="I2" s="381" t="s">
        <v>197</v>
      </c>
      <c r="J2" s="381" t="s">
        <v>199</v>
      </c>
      <c r="K2" s="381" t="s">
        <v>194</v>
      </c>
      <c r="M2" s="351" t="s">
        <v>200</v>
      </c>
      <c r="N2" s="352" t="s">
        <v>198</v>
      </c>
    </row>
    <row r="3" spans="1:15" s="326" customFormat="1" hidden="1" x14ac:dyDescent="0.25">
      <c r="A3" s="345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M3" s="374"/>
      <c r="N3" s="375"/>
      <c r="O3" s="334"/>
    </row>
    <row r="4" spans="1:15" s="326" customFormat="1" hidden="1" x14ac:dyDescent="0.25">
      <c r="A4" s="781" t="s">
        <v>34</v>
      </c>
      <c r="B4" s="781"/>
      <c r="C4" s="300"/>
      <c r="D4" s="170"/>
      <c r="E4" s="170"/>
      <c r="F4" s="199"/>
      <c r="G4" s="170"/>
      <c r="H4" s="170"/>
      <c r="I4" s="170"/>
      <c r="J4" s="170"/>
      <c r="K4" s="302"/>
      <c r="M4" s="374"/>
      <c r="N4" s="375"/>
      <c r="O4" s="334"/>
    </row>
    <row r="5" spans="1:15" s="326" customFormat="1" hidden="1" x14ac:dyDescent="0.25">
      <c r="A5" s="781" t="s">
        <v>35</v>
      </c>
      <c r="B5" s="781"/>
      <c r="C5" s="300"/>
      <c r="D5" s="170"/>
      <c r="E5" s="170"/>
      <c r="F5" s="199"/>
      <c r="G5" s="170"/>
      <c r="H5" s="170"/>
      <c r="I5" s="170"/>
      <c r="J5" s="170"/>
      <c r="K5" s="302"/>
      <c r="M5" s="374"/>
      <c r="N5" s="375"/>
      <c r="O5" s="334"/>
    </row>
    <row r="6" spans="1:15" s="326" customFormat="1" hidden="1" x14ac:dyDescent="0.25">
      <c r="A6" s="781" t="s">
        <v>36</v>
      </c>
      <c r="B6" s="781"/>
      <c r="C6" s="300"/>
      <c r="D6" s="170"/>
      <c r="E6" s="170"/>
      <c r="F6" s="199"/>
      <c r="G6" s="170"/>
      <c r="H6" s="170"/>
      <c r="I6" s="170"/>
      <c r="J6" s="170"/>
      <c r="K6" s="302"/>
      <c r="M6" s="374"/>
      <c r="N6" s="375"/>
      <c r="O6" s="334"/>
    </row>
    <row r="7" spans="1:15" s="326" customFormat="1" hidden="1" x14ac:dyDescent="0.25">
      <c r="A7" s="791" t="s">
        <v>37</v>
      </c>
      <c r="B7" s="791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M7" s="374"/>
      <c r="N7" s="375"/>
      <c r="O7" s="334"/>
    </row>
    <row r="8" spans="1:15" s="32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M8" s="374"/>
      <c r="N8" s="375"/>
      <c r="O8" s="334"/>
    </row>
    <row r="9" spans="1:15" s="326" customFormat="1" ht="12" customHeight="1" x14ac:dyDescent="0.2">
      <c r="A9" s="797" t="s">
        <v>213</v>
      </c>
      <c r="B9" s="798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151.70000000000002</v>
      </c>
      <c r="H9" s="170">
        <f>F9/$F$18</f>
        <v>0.45486985726280438</v>
      </c>
      <c r="I9" s="204">
        <f t="shared" ref="I9:I17" si="1">H9*$I$35</f>
        <v>172059.8</v>
      </c>
      <c r="J9" s="204">
        <f>I9+F9</f>
        <v>657467.80000000005</v>
      </c>
      <c r="K9" s="204">
        <v>151.69999999999999</v>
      </c>
      <c r="M9" s="337">
        <f>G9*C9</f>
        <v>657467.80000000005</v>
      </c>
      <c r="N9" s="323">
        <f>K9*C9</f>
        <v>657467.79999999993</v>
      </c>
      <c r="O9" s="334"/>
    </row>
    <row r="10" spans="1:15" s="326" customFormat="1" ht="12" customHeight="1" x14ac:dyDescent="0.2">
      <c r="A10" s="797" t="s">
        <v>214</v>
      </c>
      <c r="B10" s="798"/>
      <c r="C10" s="353">
        <v>2167</v>
      </c>
      <c r="D10" s="199"/>
      <c r="E10" s="199">
        <v>112</v>
      </c>
      <c r="F10" s="199">
        <f t="shared" si="0"/>
        <v>242704</v>
      </c>
      <c r="G10" s="204">
        <f t="shared" ref="G10:G17" si="2">J10/C10</f>
        <v>151.70000000000002</v>
      </c>
      <c r="H10" s="170">
        <f t="shared" ref="H10:H17" si="3">F10/$F$18</f>
        <v>0.22743492863140219</v>
      </c>
      <c r="I10" s="204">
        <f t="shared" si="1"/>
        <v>86029.9</v>
      </c>
      <c r="J10" s="204">
        <f t="shared" ref="J10:J17" si="4">I10+F10</f>
        <v>328733.90000000002</v>
      </c>
      <c r="K10" s="204">
        <v>151.69999999999999</v>
      </c>
      <c r="M10" s="337">
        <f t="shared" ref="M10:M17" si="5">K10*C10</f>
        <v>328733.89999999997</v>
      </c>
      <c r="N10" s="323">
        <f t="shared" ref="N10:N17" si="6">K10*C10</f>
        <v>328733.89999999997</v>
      </c>
      <c r="O10" s="334"/>
    </row>
    <row r="11" spans="1:15" s="326" customFormat="1" ht="12" customHeight="1" x14ac:dyDescent="0.2">
      <c r="A11" s="797" t="s">
        <v>215</v>
      </c>
      <c r="B11" s="798"/>
      <c r="C11" s="353">
        <v>129</v>
      </c>
      <c r="D11" s="199"/>
      <c r="E11" s="199">
        <v>112</v>
      </c>
      <c r="F11" s="199">
        <f t="shared" si="0"/>
        <v>14448</v>
      </c>
      <c r="G11" s="204">
        <f t="shared" si="2"/>
        <v>151.69999999999999</v>
      </c>
      <c r="H11" s="170">
        <f t="shared" si="3"/>
        <v>1.3539042821158691E-2</v>
      </c>
      <c r="I11" s="204">
        <f t="shared" si="1"/>
        <v>5121.3</v>
      </c>
      <c r="J11" s="204">
        <f t="shared" si="4"/>
        <v>19569.3</v>
      </c>
      <c r="K11" s="204">
        <v>151.69999999999999</v>
      </c>
      <c r="M11" s="337">
        <f t="shared" si="5"/>
        <v>19569.3</v>
      </c>
      <c r="N11" s="323">
        <f t="shared" si="6"/>
        <v>19569.3</v>
      </c>
      <c r="O11" s="334"/>
    </row>
    <row r="12" spans="1:15" s="326" customFormat="1" ht="12" customHeight="1" x14ac:dyDescent="0.2">
      <c r="A12" s="797" t="s">
        <v>216</v>
      </c>
      <c r="B12" s="798"/>
      <c r="C12" s="353">
        <v>1445</v>
      </c>
      <c r="D12" s="199"/>
      <c r="E12" s="199">
        <v>112</v>
      </c>
      <c r="F12" s="199">
        <f t="shared" si="0"/>
        <v>161840</v>
      </c>
      <c r="G12" s="204">
        <f t="shared" si="2"/>
        <v>151.69999999999999</v>
      </c>
      <c r="H12" s="170">
        <f t="shared" si="3"/>
        <v>0.15165827036104115</v>
      </c>
      <c r="I12" s="204">
        <f t="shared" si="1"/>
        <v>57366.5</v>
      </c>
      <c r="J12" s="204">
        <f t="shared" si="4"/>
        <v>219206.5</v>
      </c>
      <c r="K12" s="204">
        <v>151.69999999999999</v>
      </c>
      <c r="M12" s="337">
        <f t="shared" si="5"/>
        <v>219206.49999999997</v>
      </c>
      <c r="N12" s="323">
        <f t="shared" si="6"/>
        <v>219206.49999999997</v>
      </c>
      <c r="O12" s="334"/>
    </row>
    <row r="13" spans="1:15" s="326" customFormat="1" ht="12" customHeight="1" x14ac:dyDescent="0.2">
      <c r="A13" s="797" t="s">
        <v>220</v>
      </c>
      <c r="B13" s="798"/>
      <c r="C13" s="354">
        <v>361</v>
      </c>
      <c r="D13" s="199"/>
      <c r="E13" s="199">
        <v>112</v>
      </c>
      <c r="F13" s="199">
        <f t="shared" si="0"/>
        <v>40432</v>
      </c>
      <c r="G13" s="204">
        <f t="shared" si="2"/>
        <v>151.69999999999999</v>
      </c>
      <c r="H13" s="170">
        <f t="shared" si="3"/>
        <v>3.7888329135180518E-2</v>
      </c>
      <c r="I13" s="204">
        <f t="shared" si="1"/>
        <v>14331.699999999999</v>
      </c>
      <c r="J13" s="204">
        <f t="shared" si="4"/>
        <v>54763.7</v>
      </c>
      <c r="K13" s="204">
        <v>151.69999999999999</v>
      </c>
      <c r="M13" s="337">
        <f t="shared" si="5"/>
        <v>54763.7</v>
      </c>
      <c r="N13" s="323">
        <f t="shared" si="6"/>
        <v>54763.7</v>
      </c>
      <c r="O13" s="334"/>
    </row>
    <row r="14" spans="1:15" s="326" customFormat="1" ht="12" customHeight="1" x14ac:dyDescent="0.2">
      <c r="A14" s="797" t="s">
        <v>221</v>
      </c>
      <c r="B14" s="798"/>
      <c r="C14" s="353">
        <v>361</v>
      </c>
      <c r="D14" s="199"/>
      <c r="E14" s="199">
        <v>112</v>
      </c>
      <c r="F14" s="199">
        <f t="shared" si="0"/>
        <v>40432</v>
      </c>
      <c r="G14" s="204">
        <f t="shared" si="2"/>
        <v>151.69999999999999</v>
      </c>
      <c r="H14" s="170">
        <f t="shared" si="3"/>
        <v>3.7888329135180518E-2</v>
      </c>
      <c r="I14" s="204">
        <f t="shared" si="1"/>
        <v>14331.699999999999</v>
      </c>
      <c r="J14" s="204">
        <f t="shared" si="4"/>
        <v>54763.7</v>
      </c>
      <c r="K14" s="204">
        <v>151.69999999999999</v>
      </c>
      <c r="M14" s="337">
        <f t="shared" si="5"/>
        <v>54763.7</v>
      </c>
      <c r="N14" s="323">
        <f t="shared" si="6"/>
        <v>54763.7</v>
      </c>
      <c r="O14" s="334"/>
    </row>
    <row r="15" spans="1:15" s="326" customFormat="1" ht="12" customHeight="1" x14ac:dyDescent="0.2">
      <c r="A15" s="797" t="s">
        <v>217</v>
      </c>
      <c r="B15" s="798"/>
      <c r="C15" s="353">
        <v>344</v>
      </c>
      <c r="D15" s="199"/>
      <c r="E15" s="199">
        <v>112</v>
      </c>
      <c r="F15" s="199">
        <f t="shared" si="0"/>
        <v>38528</v>
      </c>
      <c r="G15" s="204">
        <f t="shared" si="2"/>
        <v>151.70000000000002</v>
      </c>
      <c r="H15" s="170">
        <f t="shared" si="3"/>
        <v>3.6104114189756509E-2</v>
      </c>
      <c r="I15" s="204">
        <f t="shared" si="1"/>
        <v>13656.8</v>
      </c>
      <c r="J15" s="204">
        <f t="shared" si="4"/>
        <v>52184.800000000003</v>
      </c>
      <c r="K15" s="204">
        <v>151.69999999999999</v>
      </c>
      <c r="M15" s="337">
        <f t="shared" si="5"/>
        <v>52184.799999999996</v>
      </c>
      <c r="N15" s="323">
        <f t="shared" si="6"/>
        <v>52184.799999999996</v>
      </c>
      <c r="O15" s="334"/>
    </row>
    <row r="16" spans="1:15" s="326" customFormat="1" ht="12" customHeight="1" x14ac:dyDescent="0.2">
      <c r="A16" s="797" t="s">
        <v>218</v>
      </c>
      <c r="B16" s="798"/>
      <c r="C16" s="353">
        <v>129</v>
      </c>
      <c r="D16" s="199"/>
      <c r="E16" s="199">
        <v>112</v>
      </c>
      <c r="F16" s="199">
        <f t="shared" si="0"/>
        <v>14448</v>
      </c>
      <c r="G16" s="204">
        <f t="shared" si="2"/>
        <v>151.69999999999999</v>
      </c>
      <c r="H16" s="170">
        <f t="shared" si="3"/>
        <v>1.3539042821158691E-2</v>
      </c>
      <c r="I16" s="204">
        <f t="shared" si="1"/>
        <v>5121.3</v>
      </c>
      <c r="J16" s="204">
        <f t="shared" si="4"/>
        <v>19569.3</v>
      </c>
      <c r="K16" s="204">
        <v>151.69999999999999</v>
      </c>
      <c r="M16" s="337">
        <f t="shared" si="5"/>
        <v>19569.3</v>
      </c>
      <c r="N16" s="323">
        <f t="shared" si="6"/>
        <v>19569.3</v>
      </c>
      <c r="O16" s="334"/>
    </row>
    <row r="17" spans="1:15" s="326" customFormat="1" ht="12" customHeight="1" x14ac:dyDescent="0.2">
      <c r="A17" s="797" t="s">
        <v>219</v>
      </c>
      <c r="B17" s="798"/>
      <c r="C17" s="353">
        <v>258</v>
      </c>
      <c r="D17" s="199"/>
      <c r="E17" s="199">
        <v>112</v>
      </c>
      <c r="F17" s="199">
        <f t="shared" si="0"/>
        <v>28896</v>
      </c>
      <c r="G17" s="204">
        <f t="shared" si="2"/>
        <v>151.69999999999999</v>
      </c>
      <c r="H17" s="170">
        <f t="shared" si="3"/>
        <v>2.7078085642317382E-2</v>
      </c>
      <c r="I17" s="204">
        <f t="shared" si="1"/>
        <v>10242.6</v>
      </c>
      <c r="J17" s="204">
        <f t="shared" si="4"/>
        <v>39138.6</v>
      </c>
      <c r="K17" s="204">
        <v>151.69999999999999</v>
      </c>
      <c r="M17" s="337">
        <f t="shared" si="5"/>
        <v>39138.6</v>
      </c>
      <c r="N17" s="323">
        <f t="shared" si="6"/>
        <v>39138.6</v>
      </c>
      <c r="O17" s="334"/>
    </row>
    <row r="18" spans="1:15" s="326" customFormat="1" ht="9.9499999999999993" customHeight="1" thickBot="1" x14ac:dyDescent="0.25">
      <c r="A18" s="787" t="s">
        <v>8</v>
      </c>
      <c r="B18" s="787"/>
      <c r="C18" s="170"/>
      <c r="D18" s="199">
        <f>SUM(D9:D17)</f>
        <v>0</v>
      </c>
      <c r="E18" s="199"/>
      <c r="F18" s="199">
        <f>SUM(F9:F17)</f>
        <v>1067136</v>
      </c>
      <c r="G18" s="199"/>
      <c r="H18" s="353">
        <f>SUM(H9:H17)</f>
        <v>1</v>
      </c>
      <c r="I18" s="204">
        <f>SUM(I9:I17)</f>
        <v>378261.6</v>
      </c>
      <c r="J18" s="384">
        <f>I18+F18</f>
        <v>1445397.6</v>
      </c>
      <c r="K18" s="385"/>
      <c r="M18" s="338">
        <f>SUM(M9:M17)</f>
        <v>1445397.6</v>
      </c>
      <c r="N18" s="339">
        <f>SUM(N9:N17)</f>
        <v>1445397.6</v>
      </c>
      <c r="O18" s="340">
        <f>M18-N18</f>
        <v>0</v>
      </c>
    </row>
    <row r="19" spans="1:15" s="326" customFormat="1" hidden="1" x14ac:dyDescent="0.25">
      <c r="A19" s="355"/>
      <c r="B19" s="356"/>
      <c r="C19" s="357"/>
      <c r="D19" s="357"/>
      <c r="E19" s="358"/>
      <c r="F19" s="358"/>
      <c r="G19" s="358"/>
      <c r="H19" s="359"/>
      <c r="I19" s="207"/>
      <c r="J19" s="359"/>
      <c r="K19" s="359"/>
      <c r="L19" s="324"/>
      <c r="M19" s="324"/>
      <c r="N19" s="324"/>
      <c r="O19" s="334"/>
    </row>
    <row r="20" spans="1:15" s="32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170"/>
      <c r="L20" s="324"/>
      <c r="M20" s="324"/>
      <c r="N20" s="324"/>
      <c r="O20" s="334"/>
    </row>
    <row r="21" spans="1:15" s="32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170"/>
      <c r="L21" s="324"/>
      <c r="M21" s="324"/>
      <c r="N21" s="324"/>
      <c r="O21" s="334"/>
    </row>
    <row r="22" spans="1:15" s="326" customFormat="1" hidden="1" x14ac:dyDescent="0.25">
      <c r="A22" s="314"/>
      <c r="B22" s="205"/>
      <c r="C22" s="198"/>
      <c r="D22" s="198"/>
      <c r="E22" s="170"/>
      <c r="F22" s="199"/>
      <c r="G22" s="199"/>
      <c r="H22" s="170"/>
      <c r="I22" s="207"/>
      <c r="J22" s="170"/>
      <c r="K22" s="170"/>
      <c r="L22" s="324"/>
      <c r="M22" s="324"/>
      <c r="N22" s="324"/>
      <c r="O22" s="334"/>
    </row>
    <row r="23" spans="1:15" s="32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170"/>
      <c r="L23" s="324"/>
      <c r="M23" s="324"/>
      <c r="N23" s="324"/>
      <c r="O23" s="334"/>
    </row>
    <row r="24" spans="1:15" s="326" customFormat="1" hidden="1" x14ac:dyDescent="0.25">
      <c r="A24" s="781" t="s">
        <v>52</v>
      </c>
      <c r="B24" s="781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170"/>
      <c r="L24" s="324"/>
      <c r="M24" s="324"/>
      <c r="N24" s="324"/>
      <c r="O24" s="334"/>
    </row>
    <row r="25" spans="1:15" s="326" customFormat="1" hidden="1" x14ac:dyDescent="0.25">
      <c r="A25" s="314"/>
      <c r="B25" s="205"/>
      <c r="C25" s="198"/>
      <c r="D25" s="198"/>
      <c r="E25" s="170"/>
      <c r="F25" s="199"/>
      <c r="G25" s="199"/>
      <c r="H25" s="170"/>
      <c r="I25" s="207"/>
      <c r="J25" s="170"/>
      <c r="K25" s="170"/>
      <c r="L25" s="324"/>
      <c r="M25" s="324"/>
      <c r="N25" s="324"/>
      <c r="O25" s="334"/>
    </row>
    <row r="26" spans="1:15" hidden="1" x14ac:dyDescent="0.25">
      <c r="A26" s="787"/>
      <c r="B26" s="787"/>
      <c r="C26" s="209"/>
      <c r="D26" s="209"/>
      <c r="E26" s="210"/>
      <c r="F26" s="171"/>
      <c r="G26" s="171"/>
      <c r="H26" s="170"/>
      <c r="I26" s="316"/>
      <c r="J26" s="170"/>
      <c r="K26" s="170"/>
    </row>
    <row r="27" spans="1:15" hidden="1" x14ac:dyDescent="0.25">
      <c r="A27" s="787" t="s">
        <v>8</v>
      </c>
      <c r="B27" s="787"/>
      <c r="C27" s="209"/>
      <c r="D27" s="209"/>
      <c r="E27" s="210"/>
      <c r="F27" s="171"/>
      <c r="G27" s="215"/>
      <c r="H27" s="304"/>
      <c r="I27" s="304"/>
      <c r="J27" s="360"/>
      <c r="K27" s="367"/>
    </row>
    <row r="28" spans="1:15" ht="8.1" customHeight="1" x14ac:dyDescent="0.25">
      <c r="A28" s="216"/>
      <c r="B28" s="216"/>
      <c r="C28" s="346"/>
      <c r="D28" s="346"/>
      <c r="E28" s="210"/>
      <c r="F28" s="171"/>
      <c r="G28" s="215"/>
      <c r="H28" s="215"/>
      <c r="I28" s="215"/>
      <c r="J28" s="363"/>
      <c r="K28" s="215"/>
    </row>
    <row r="29" spans="1:15" ht="18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215"/>
    </row>
    <row r="30" spans="1:15" ht="18" customHeight="1" x14ac:dyDescent="0.25">
      <c r="A30" s="216" t="s">
        <v>12</v>
      </c>
      <c r="B30" s="216"/>
      <c r="C30" s="346"/>
      <c r="D30" s="346"/>
      <c r="E30" s="221" t="s">
        <v>13</v>
      </c>
      <c r="F30" s="173" t="s">
        <v>13</v>
      </c>
      <c r="G30" s="364"/>
      <c r="H30" s="215"/>
      <c r="I30" s="215"/>
      <c r="J30" s="215"/>
      <c r="K30" s="215"/>
    </row>
    <row r="31" spans="1:15" ht="18" customHeight="1" x14ac:dyDescent="0.25">
      <c r="A31" s="216" t="s">
        <v>54</v>
      </c>
      <c r="B31" s="348">
        <v>0.11877255</v>
      </c>
      <c r="C31" s="223"/>
      <c r="D31" s="223"/>
      <c r="E31" s="171">
        <f>F31</f>
        <v>126746.4639168</v>
      </c>
      <c r="F31" s="171">
        <f>B31*F18</f>
        <v>126746.4639168</v>
      </c>
      <c r="G31" s="215"/>
      <c r="H31" s="215"/>
      <c r="I31" s="225"/>
      <c r="J31" s="225"/>
      <c r="K31" s="225"/>
      <c r="L31" s="330"/>
    </row>
    <row r="32" spans="1:15" ht="18" customHeight="1" x14ac:dyDescent="0.25">
      <c r="A32" s="216" t="s">
        <v>15</v>
      </c>
      <c r="B32" s="348">
        <v>6.6533199999999999E-3</v>
      </c>
      <c r="C32" s="346"/>
      <c r="D32" s="346"/>
      <c r="E32" s="171">
        <f>F32</f>
        <v>7099.9972915199996</v>
      </c>
      <c r="F32" s="171">
        <f>B32*F18</f>
        <v>7099.9972915199996</v>
      </c>
      <c r="G32" s="215"/>
      <c r="H32" s="215"/>
      <c r="I32" s="226"/>
      <c r="J32" s="226"/>
      <c r="K32" s="226"/>
      <c r="L32" s="330"/>
    </row>
    <row r="33" spans="1:16" ht="18" customHeight="1" x14ac:dyDescent="0.25">
      <c r="A33" s="216" t="s">
        <v>55</v>
      </c>
      <c r="B33" s="348">
        <v>0.1</v>
      </c>
      <c r="C33" s="223"/>
      <c r="D33" s="223"/>
      <c r="E33" s="171">
        <f>F33</f>
        <v>119388.24639168</v>
      </c>
      <c r="F33" s="171">
        <f>(F18+F31)*B33</f>
        <v>119388.24639168</v>
      </c>
      <c r="G33" s="215"/>
      <c r="H33" s="301"/>
      <c r="I33" s="343"/>
      <c r="J33" s="228"/>
      <c r="K33" s="228"/>
      <c r="M33" s="336"/>
      <c r="N33" s="336"/>
    </row>
    <row r="34" spans="1:16" ht="18" customHeight="1" x14ac:dyDescent="0.25">
      <c r="A34" s="216" t="s">
        <v>17</v>
      </c>
      <c r="B34" s="346"/>
      <c r="C34" s="346"/>
      <c r="D34" s="346"/>
      <c r="E34" s="171">
        <f>SUM(E31:E33)</f>
        <v>253234.70759999999</v>
      </c>
      <c r="F34" s="171">
        <f>SUM(F31:F33)</f>
        <v>253234.70759999999</v>
      </c>
      <c r="G34" s="215"/>
      <c r="H34" s="215"/>
      <c r="I34" s="215"/>
      <c r="J34" s="362"/>
      <c r="K34" s="215"/>
      <c r="M34" s="336"/>
      <c r="N34" s="336"/>
    </row>
    <row r="35" spans="1:16" ht="12.75" customHeight="1" x14ac:dyDescent="0.25">
      <c r="A35" s="216"/>
      <c r="B35" s="346"/>
      <c r="C35" s="346"/>
      <c r="D35" s="346"/>
      <c r="E35" s="171"/>
      <c r="F35" s="171"/>
      <c r="G35" s="215"/>
      <c r="H35" s="215"/>
      <c r="I35" s="383">
        <f>F34+F40</f>
        <v>378261.6</v>
      </c>
      <c r="J35" s="215"/>
      <c r="K35" s="215"/>
      <c r="M35" s="341"/>
      <c r="N35" s="341"/>
    </row>
    <row r="36" spans="1:16" ht="17.100000000000001" customHeight="1" x14ac:dyDescent="0.25">
      <c r="A36" s="216" t="s">
        <v>18</v>
      </c>
      <c r="B36" s="346"/>
      <c r="C36" s="346"/>
      <c r="D36" s="346"/>
      <c r="E36" s="173" t="s">
        <v>13</v>
      </c>
      <c r="F36" s="171"/>
      <c r="G36" s="215"/>
      <c r="H36" s="215"/>
      <c r="I36" s="215"/>
      <c r="J36" s="215"/>
      <c r="K36" s="215"/>
      <c r="M36" s="341"/>
      <c r="N36" s="341"/>
    </row>
    <row r="37" spans="1:16" ht="17.100000000000001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9395.0843999999997</v>
      </c>
      <c r="F37" s="171">
        <f>B37*$E$46</f>
        <v>9395.0843999999997</v>
      </c>
      <c r="G37" s="215"/>
      <c r="H37" s="215"/>
      <c r="I37" s="215"/>
      <c r="J37" s="215"/>
      <c r="K37" s="215"/>
      <c r="M37" s="341"/>
      <c r="N37" s="341"/>
    </row>
    <row r="38" spans="1:16" ht="17.100000000000001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43361.928</v>
      </c>
      <c r="F38" s="171">
        <f t="shared" ref="F38" si="8">B38*$E$46</f>
        <v>43361.928</v>
      </c>
      <c r="G38" s="215"/>
      <c r="H38" s="215"/>
      <c r="I38" s="215"/>
      <c r="J38" s="215"/>
      <c r="K38" s="215"/>
      <c r="M38" s="341"/>
      <c r="N38" s="341"/>
    </row>
    <row r="39" spans="1:16" ht="17.100000000000001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72269.88</v>
      </c>
      <c r="F39" s="171">
        <f>B39*$E$46</f>
        <v>72269.88</v>
      </c>
      <c r="G39" s="386" t="s">
        <v>25</v>
      </c>
      <c r="H39" s="224"/>
      <c r="I39" s="224"/>
      <c r="J39" s="215"/>
      <c r="K39" s="215"/>
      <c r="M39" s="341"/>
      <c r="N39" s="341"/>
    </row>
    <row r="40" spans="1:16" ht="17.100000000000001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</f>
        <v>125026.89240000001</v>
      </c>
      <c r="F40" s="171">
        <f>SUM(F37:F39)</f>
        <v>125026.89240000001</v>
      </c>
      <c r="G40" s="387">
        <f>E40-F40</f>
        <v>0</v>
      </c>
      <c r="H40" s="224"/>
      <c r="I40" s="224"/>
      <c r="J40" s="215"/>
      <c r="K40" s="215"/>
      <c r="M40" s="341"/>
      <c r="N40" s="341"/>
    </row>
    <row r="41" spans="1:16" ht="6" hidden="1" customHeight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388"/>
      <c r="H41" s="224"/>
      <c r="I41" s="224"/>
      <c r="J41" s="215"/>
      <c r="K41" s="215"/>
      <c r="M41" s="342"/>
      <c r="N41" s="342"/>
    </row>
    <row r="42" spans="1:16" ht="6" hidden="1" customHeight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388"/>
      <c r="H42" s="224"/>
      <c r="I42" s="224"/>
      <c r="J42" s="215"/>
      <c r="K42" s="215"/>
    </row>
    <row r="43" spans="1:16" ht="6" hidden="1" customHeight="1" x14ac:dyDescent="0.25">
      <c r="A43" s="796" t="s">
        <v>58</v>
      </c>
      <c r="B43" s="796"/>
      <c r="C43" s="346"/>
      <c r="D43" s="346"/>
      <c r="E43" s="171">
        <f>F18+E34</f>
        <v>1320370.7076000001</v>
      </c>
      <c r="F43" s="171"/>
      <c r="G43" s="388"/>
      <c r="H43" s="224"/>
      <c r="I43" s="224"/>
      <c r="J43" s="215"/>
      <c r="K43" s="215"/>
    </row>
    <row r="44" spans="1:16" ht="6" hidden="1" customHeight="1" x14ac:dyDescent="0.25">
      <c r="A44" s="796" t="s">
        <v>59</v>
      </c>
      <c r="B44" s="796"/>
      <c r="C44" s="346"/>
      <c r="D44" s="346"/>
      <c r="E44" s="171">
        <f>F18+F34</f>
        <v>1320370.7076000001</v>
      </c>
      <c r="F44" s="171"/>
      <c r="G44" s="388"/>
      <c r="H44" s="224"/>
      <c r="I44" s="224"/>
      <c r="J44" s="215"/>
      <c r="K44" s="215"/>
      <c r="M44" s="336"/>
      <c r="N44" s="336"/>
      <c r="O44" s="325"/>
      <c r="P44" s="329"/>
    </row>
    <row r="45" spans="1:16" ht="6" hidden="1" customHeight="1" x14ac:dyDescent="0.25">
      <c r="A45" s="347"/>
      <c r="B45" s="347"/>
      <c r="C45" s="346"/>
      <c r="D45" s="346"/>
      <c r="E45" s="171">
        <f>E43/(1-B40)</f>
        <v>1445397.6</v>
      </c>
      <c r="F45" s="171"/>
      <c r="G45" s="388"/>
      <c r="H45" s="224"/>
      <c r="I45" s="224"/>
      <c r="J45" s="215"/>
      <c r="K45" s="215"/>
      <c r="M45" s="336"/>
      <c r="N45" s="336"/>
      <c r="O45" s="325"/>
      <c r="P45" s="329"/>
    </row>
    <row r="46" spans="1:16" ht="6" hidden="1" customHeight="1" x14ac:dyDescent="0.25">
      <c r="A46" s="796" t="s">
        <v>60</v>
      </c>
      <c r="B46" s="796"/>
      <c r="C46" s="346"/>
      <c r="D46" s="346"/>
      <c r="E46" s="171">
        <f>E44/(1-B40)</f>
        <v>1445397.6</v>
      </c>
      <c r="F46" s="171"/>
      <c r="G46" s="388"/>
      <c r="H46" s="224"/>
      <c r="I46" s="224"/>
      <c r="J46" s="215"/>
      <c r="K46" s="215"/>
      <c r="M46" s="336"/>
      <c r="N46" s="336"/>
      <c r="O46" s="325"/>
      <c r="P46" s="329"/>
    </row>
    <row r="47" spans="1:16" s="331" customFormat="1" ht="17.100000000000001" customHeight="1" x14ac:dyDescent="0.25">
      <c r="A47" s="776" t="s">
        <v>24</v>
      </c>
      <c r="B47" s="776"/>
      <c r="C47" s="346"/>
      <c r="D47" s="346"/>
      <c r="E47" s="173" t="s">
        <v>10</v>
      </c>
      <c r="F47" s="350" t="s">
        <v>144</v>
      </c>
      <c r="G47" s="386" t="s">
        <v>25</v>
      </c>
      <c r="H47" s="234"/>
      <c r="I47" s="234"/>
      <c r="J47" s="364"/>
      <c r="K47" s="364"/>
      <c r="L47" s="332"/>
      <c r="M47" s="336"/>
      <c r="N47" s="336"/>
      <c r="O47" s="325"/>
      <c r="P47" s="333"/>
    </row>
    <row r="48" spans="1:16" ht="17.100000000000001" customHeight="1" x14ac:dyDescent="0.25">
      <c r="A48" s="776" t="s">
        <v>26</v>
      </c>
      <c r="B48" s="776"/>
      <c r="C48" s="346"/>
      <c r="D48" s="346"/>
      <c r="E48" s="171">
        <f>E34+E40+F18</f>
        <v>1445397.6</v>
      </c>
      <c r="F48" s="171">
        <f>F18+F34+F40</f>
        <v>1445397.6</v>
      </c>
      <c r="G48" s="389">
        <f>F48-E48</f>
        <v>0</v>
      </c>
      <c r="H48" s="224"/>
      <c r="I48" s="224"/>
      <c r="J48" s="215"/>
      <c r="K48" s="215"/>
      <c r="M48" s="335"/>
      <c r="N48" s="335"/>
      <c r="P48" s="329"/>
    </row>
    <row r="49" spans="1:14" ht="17.100000000000001" customHeight="1" x14ac:dyDescent="0.25">
      <c r="A49" s="776" t="s">
        <v>27</v>
      </c>
      <c r="B49" s="776"/>
      <c r="C49" s="346"/>
      <c r="D49" s="346"/>
      <c r="E49" s="171">
        <f>E48*12</f>
        <v>17344771.200000003</v>
      </c>
      <c r="F49" s="171">
        <f>F48*12</f>
        <v>17344771.200000003</v>
      </c>
      <c r="G49" s="389">
        <f>F49-E49</f>
        <v>0</v>
      </c>
      <c r="H49" s="224"/>
      <c r="I49" s="224"/>
      <c r="J49" s="215"/>
      <c r="K49" s="301"/>
    </row>
    <row r="50" spans="1:14" ht="33.75" customHeight="1" x14ac:dyDescent="0.25">
      <c r="A50" s="779"/>
      <c r="B50" s="779"/>
      <c r="C50" s="779"/>
      <c r="D50" s="779"/>
      <c r="E50" s="779"/>
      <c r="F50" s="779"/>
      <c r="G50" s="779"/>
      <c r="H50" s="779"/>
      <c r="I50" s="779"/>
      <c r="J50" s="779"/>
      <c r="K50" s="779"/>
      <c r="L50" s="779"/>
      <c r="M50" s="779"/>
    </row>
    <row r="51" spans="1:14" x14ac:dyDescent="0.25">
      <c r="A51" s="305"/>
      <c r="B51" s="305"/>
      <c r="C51" s="306"/>
      <c r="D51" s="306"/>
      <c r="E51" s="231"/>
      <c r="F51" s="231"/>
      <c r="G51" s="231"/>
      <c r="H51" s="231"/>
      <c r="I51" s="231"/>
      <c r="J51" s="231"/>
      <c r="K51" s="231"/>
    </row>
    <row r="52" spans="1:14" x14ac:dyDescent="0.25">
      <c r="E52" s="379"/>
      <c r="H52" s="379"/>
      <c r="I52" s="379"/>
      <c r="J52" s="379"/>
      <c r="K52" s="379"/>
    </row>
    <row r="53" spans="1:14" x14ac:dyDescent="0.25">
      <c r="E53" s="376"/>
    </row>
    <row r="54" spans="1:14" x14ac:dyDescent="0.25">
      <c r="E54" s="376"/>
    </row>
    <row r="55" spans="1:14" x14ac:dyDescent="0.25">
      <c r="A55" s="328"/>
      <c r="B55" s="328"/>
      <c r="C55" s="328"/>
      <c r="D55" s="328"/>
      <c r="E55" s="376"/>
      <c r="I55" s="328"/>
      <c r="J55" s="328"/>
      <c r="K55" s="328"/>
      <c r="L55" s="328"/>
      <c r="M55" s="328"/>
      <c r="N55" s="328"/>
    </row>
    <row r="56" spans="1:14" x14ac:dyDescent="0.25">
      <c r="A56" s="328"/>
      <c r="B56" s="328"/>
      <c r="C56" s="328"/>
      <c r="D56" s="328"/>
      <c r="E56" s="376"/>
      <c r="I56" s="328"/>
      <c r="J56" s="328"/>
      <c r="K56" s="328"/>
      <c r="L56" s="328"/>
      <c r="M56" s="328"/>
      <c r="N56" s="328"/>
    </row>
    <row r="57" spans="1:14" x14ac:dyDescent="0.25">
      <c r="A57" s="328"/>
      <c r="B57" s="328"/>
      <c r="C57" s="328"/>
      <c r="D57" s="328"/>
      <c r="E57" s="376"/>
      <c r="I57" s="328"/>
      <c r="J57" s="328"/>
      <c r="K57" s="328"/>
      <c r="L57" s="328"/>
      <c r="M57" s="328"/>
      <c r="N57" s="328"/>
    </row>
    <row r="58" spans="1:14" x14ac:dyDescent="0.25">
      <c r="A58" s="328"/>
      <c r="B58" s="328"/>
      <c r="C58" s="328"/>
      <c r="D58" s="328"/>
      <c r="I58" s="328"/>
      <c r="J58" s="328"/>
      <c r="K58" s="328"/>
      <c r="L58" s="328"/>
      <c r="M58" s="328"/>
      <c r="N58" s="328"/>
    </row>
  </sheetData>
  <mergeCells count="26">
    <mergeCell ref="A46:B46"/>
    <mergeCell ref="A47:B47"/>
    <mergeCell ref="A48:B48"/>
    <mergeCell ref="A49:B49"/>
    <mergeCell ref="A50:M50"/>
    <mergeCell ref="A26:B26"/>
    <mergeCell ref="A27:B27"/>
    <mergeCell ref="A43:B43"/>
    <mergeCell ref="A44:B44"/>
    <mergeCell ref="A9:B9"/>
    <mergeCell ref="A10:B10"/>
    <mergeCell ref="A11:B11"/>
    <mergeCell ref="A15:B15"/>
    <mergeCell ref="A16:B16"/>
    <mergeCell ref="A17:B17"/>
    <mergeCell ref="A12:B12"/>
    <mergeCell ref="A13:B13"/>
    <mergeCell ref="A14:B14"/>
    <mergeCell ref="A18:B18"/>
    <mergeCell ref="A24:B24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theme="4" tint="0.59999389629810485"/>
  </sheetPr>
  <dimension ref="A1:M52"/>
  <sheetViews>
    <sheetView zoomScale="190" zoomScaleNormal="19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6384" width="9.140625" style="190"/>
  </cols>
  <sheetData>
    <row r="1" spans="1:13" ht="16.5" thickBot="1" x14ac:dyDescent="0.3">
      <c r="A1" s="799" t="s">
        <v>205</v>
      </c>
      <c r="B1" s="799"/>
      <c r="C1" s="799"/>
      <c r="D1" s="799"/>
      <c r="E1" s="799"/>
      <c r="F1" s="799"/>
      <c r="G1" s="555"/>
      <c r="H1" s="555"/>
    </row>
    <row r="2" spans="1:13" s="196" customFormat="1" ht="60" customHeight="1" x14ac:dyDescent="0.25">
      <c r="A2" s="800" t="s">
        <v>196</v>
      </c>
      <c r="B2" s="801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556" t="s">
        <v>197</v>
      </c>
      <c r="I2" s="392" t="s">
        <v>199</v>
      </c>
      <c r="J2" s="199" t="s">
        <v>242</v>
      </c>
      <c r="K2" s="199" t="s">
        <v>194</v>
      </c>
      <c r="L2" s="412" t="s">
        <v>203</v>
      </c>
      <c r="M2" s="400"/>
    </row>
    <row r="3" spans="1:13" s="196" customFormat="1" ht="14.1" hidden="1" customHeight="1" x14ac:dyDescent="0.25">
      <c r="A3" s="314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400"/>
      <c r="L3" s="400"/>
      <c r="M3" s="400"/>
    </row>
    <row r="4" spans="1:13" s="196" customFormat="1" ht="14.1" hidden="1" customHeight="1" x14ac:dyDescent="0.25">
      <c r="A4" s="781" t="s">
        <v>34</v>
      </c>
      <c r="B4" s="781"/>
      <c r="C4" s="198"/>
      <c r="D4" s="170"/>
      <c r="E4" s="170"/>
      <c r="F4" s="199"/>
      <c r="G4" s="170"/>
      <c r="H4" s="170"/>
      <c r="I4" s="194"/>
      <c r="J4" s="400"/>
      <c r="K4" s="400"/>
      <c r="L4" s="400"/>
      <c r="M4" s="400"/>
    </row>
    <row r="5" spans="1:13" s="196" customFormat="1" ht="14.1" hidden="1" customHeight="1" x14ac:dyDescent="0.25">
      <c r="A5" s="781" t="s">
        <v>35</v>
      </c>
      <c r="B5" s="781"/>
      <c r="C5" s="198"/>
      <c r="D5" s="170"/>
      <c r="E5" s="170"/>
      <c r="F5" s="199"/>
      <c r="G5" s="170"/>
      <c r="H5" s="170"/>
      <c r="I5" s="194"/>
      <c r="J5" s="400"/>
      <c r="K5" s="400"/>
      <c r="L5" s="400"/>
      <c r="M5" s="400"/>
    </row>
    <row r="6" spans="1:13" s="196" customFormat="1" ht="14.1" hidden="1" customHeight="1" x14ac:dyDescent="0.25">
      <c r="A6" s="781" t="s">
        <v>36</v>
      </c>
      <c r="B6" s="781"/>
      <c r="C6" s="198"/>
      <c r="D6" s="170"/>
      <c r="E6" s="170"/>
      <c r="F6" s="199"/>
      <c r="G6" s="170"/>
      <c r="H6" s="170"/>
      <c r="I6" s="194"/>
      <c r="J6" s="400"/>
      <c r="K6" s="400"/>
      <c r="L6" s="400"/>
      <c r="M6" s="400"/>
    </row>
    <row r="7" spans="1:13" s="196" customFormat="1" ht="14.1" hidden="1" customHeight="1" x14ac:dyDescent="0.25">
      <c r="A7" s="791" t="s">
        <v>37</v>
      </c>
      <c r="B7" s="791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400"/>
      <c r="L7" s="400"/>
      <c r="M7" s="400"/>
    </row>
    <row r="8" spans="1:13" s="196" customFormat="1" ht="11.1" hidden="1" customHeight="1" x14ac:dyDescent="0.25">
      <c r="A8" s="558"/>
      <c r="B8" s="559"/>
      <c r="C8" s="396"/>
      <c r="D8" s="170"/>
      <c r="E8" s="170"/>
      <c r="F8" s="199"/>
      <c r="G8" s="170"/>
      <c r="H8" s="170"/>
      <c r="I8" s="194"/>
      <c r="J8" s="400"/>
      <c r="K8" s="400"/>
      <c r="L8" s="400"/>
      <c r="M8" s="400"/>
    </row>
    <row r="9" spans="1:13" s="321" customFormat="1" ht="9.9499999999999993" customHeight="1" x14ac:dyDescent="0.25">
      <c r="A9" s="240" t="s">
        <v>223</v>
      </c>
      <c r="B9" s="240"/>
      <c r="C9" s="198">
        <v>568</v>
      </c>
      <c r="D9" s="199"/>
      <c r="E9" s="199">
        <v>110.7</v>
      </c>
      <c r="F9" s="199">
        <f>C9*E9</f>
        <v>62877.599999999999</v>
      </c>
      <c r="G9" s="170">
        <f>F9/F14</f>
        <v>0.81492109038737448</v>
      </c>
      <c r="H9" s="204">
        <f>G9*$H$35</f>
        <v>28348.888027335823</v>
      </c>
      <c r="I9" s="560">
        <f>F9+H9</f>
        <v>91226.488027335814</v>
      </c>
      <c r="J9" s="560">
        <f>I9/C9</f>
        <v>160.61001413263347</v>
      </c>
      <c r="K9" s="560">
        <v>160.61000000000001</v>
      </c>
      <c r="L9" s="560">
        <f>K9*C9+0.01</f>
        <v>91226.49</v>
      </c>
      <c r="M9" s="303"/>
    </row>
    <row r="10" spans="1:13" s="321" customFormat="1" ht="9.9499999999999993" customHeight="1" x14ac:dyDescent="0.25">
      <c r="A10" s="240" t="s">
        <v>222</v>
      </c>
      <c r="B10" s="240"/>
      <c r="C10" s="198">
        <v>129</v>
      </c>
      <c r="D10" s="199"/>
      <c r="E10" s="199">
        <v>110.7</v>
      </c>
      <c r="F10" s="199">
        <f t="shared" ref="F10:F12" si="0">C10*E10</f>
        <v>14280.300000000001</v>
      </c>
      <c r="G10" s="170">
        <f>F10/F14</f>
        <v>0.18507890961262558</v>
      </c>
      <c r="H10" s="204">
        <f>G10*$H$35</f>
        <v>6438.3918231097214</v>
      </c>
      <c r="I10" s="560">
        <f>F10+H10</f>
        <v>20718.691823109722</v>
      </c>
      <c r="J10" s="560">
        <f>I10/C10</f>
        <v>160.61001413263349</v>
      </c>
      <c r="K10" s="560">
        <v>160.61000000000001</v>
      </c>
      <c r="L10" s="560">
        <f>K10*C10</f>
        <v>20718.690000000002</v>
      </c>
      <c r="M10" s="303"/>
    </row>
    <row r="11" spans="1:13" s="321" customFormat="1" ht="9.9499999999999993" hidden="1" customHeight="1" x14ac:dyDescent="0.25">
      <c r="A11" s="781"/>
      <c r="B11" s="781"/>
      <c r="C11" s="198"/>
      <c r="D11" s="199"/>
      <c r="E11" s="199"/>
      <c r="F11" s="199">
        <f t="shared" si="0"/>
        <v>0</v>
      </c>
      <c r="G11" s="170"/>
      <c r="H11" s="204">
        <f t="shared" ref="H11:H12" si="1">F11*G11</f>
        <v>0</v>
      </c>
      <c r="I11" s="560"/>
      <c r="J11" s="560"/>
      <c r="K11" s="560"/>
      <c r="L11" s="560"/>
      <c r="M11" s="303"/>
    </row>
    <row r="12" spans="1:13" s="321" customFormat="1" ht="9.9499999999999993" hidden="1" customHeight="1" x14ac:dyDescent="0.25">
      <c r="A12" s="781"/>
      <c r="B12" s="781"/>
      <c r="C12" s="198"/>
      <c r="D12" s="199"/>
      <c r="E12" s="199"/>
      <c r="F12" s="199">
        <f t="shared" si="0"/>
        <v>0</v>
      </c>
      <c r="G12" s="170"/>
      <c r="H12" s="204">
        <f t="shared" si="1"/>
        <v>0</v>
      </c>
      <c r="I12" s="560"/>
      <c r="J12" s="560"/>
      <c r="K12" s="560"/>
      <c r="L12" s="560"/>
      <c r="M12" s="303"/>
    </row>
    <row r="13" spans="1:13" s="321" customFormat="1" ht="6" hidden="1" customHeight="1" x14ac:dyDescent="0.25">
      <c r="A13" s="314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560"/>
      <c r="L13" s="560"/>
      <c r="M13" s="303"/>
    </row>
    <row r="14" spans="1:13" s="321" customFormat="1" ht="9.9499999999999993" customHeight="1" x14ac:dyDescent="0.2">
      <c r="A14" s="787" t="s">
        <v>8</v>
      </c>
      <c r="B14" s="787"/>
      <c r="C14" s="170">
        <f>SUM(C9:C12)</f>
        <v>697</v>
      </c>
      <c r="D14" s="199">
        <f>SUM(D9:D13)</f>
        <v>0</v>
      </c>
      <c r="E14" s="199"/>
      <c r="F14" s="199">
        <f>SUM(F9:F12)</f>
        <v>77157.899999999994</v>
      </c>
      <c r="G14" s="170">
        <f>SUM(G9:G12)</f>
        <v>1</v>
      </c>
      <c r="H14" s="204">
        <f>SUM(H9:H12)</f>
        <v>34787.279850445542</v>
      </c>
      <c r="I14" s="563">
        <f>SUM(I9:I12)</f>
        <v>111945.17985044554</v>
      </c>
      <c r="J14" s="560"/>
      <c r="K14" s="560"/>
      <c r="L14" s="560">
        <f>SUM(L9:L13)</f>
        <v>111945.18000000001</v>
      </c>
      <c r="M14" s="303">
        <f>I14-L14</f>
        <v>-1.4955447113607079E-4</v>
      </c>
    </row>
    <row r="15" spans="1:13" s="321" customFormat="1" ht="14.1" hidden="1" customHeight="1" x14ac:dyDescent="0.25">
      <c r="A15" s="314"/>
      <c r="B15" s="205"/>
      <c r="C15" s="198"/>
      <c r="D15" s="198"/>
      <c r="E15" s="199"/>
      <c r="F15" s="199"/>
      <c r="G15" s="170"/>
      <c r="H15" s="207"/>
      <c r="I15" s="303"/>
      <c r="J15" s="303"/>
      <c r="K15" s="303"/>
      <c r="L15" s="303"/>
      <c r="M15" s="303"/>
    </row>
    <row r="16" spans="1:13" s="321" customFormat="1" ht="14.1" hidden="1" customHeight="1" x14ac:dyDescent="0.25">
      <c r="A16" s="314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303"/>
      <c r="L16" s="303"/>
      <c r="M16" s="303"/>
    </row>
    <row r="17" spans="1:13" s="321" customFormat="1" ht="14.1" hidden="1" customHeight="1" x14ac:dyDescent="0.25">
      <c r="A17" s="314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303"/>
      <c r="L17" s="303"/>
      <c r="M17" s="303"/>
    </row>
    <row r="18" spans="1:13" s="321" customFormat="1" ht="14.1" hidden="1" customHeight="1" x14ac:dyDescent="0.25">
      <c r="A18" s="314"/>
      <c r="B18" s="205"/>
      <c r="C18" s="198"/>
      <c r="D18" s="198"/>
      <c r="E18" s="170"/>
      <c r="F18" s="199"/>
      <c r="G18" s="170"/>
      <c r="H18" s="207"/>
      <c r="I18" s="303"/>
      <c r="J18" s="303"/>
      <c r="K18" s="303"/>
      <c r="L18" s="303"/>
      <c r="M18" s="303"/>
    </row>
    <row r="19" spans="1:13" s="321" customFormat="1" ht="14.1" hidden="1" customHeight="1" x14ac:dyDescent="0.25">
      <c r="A19" s="314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303"/>
      <c r="L19" s="303"/>
      <c r="M19" s="303"/>
    </row>
    <row r="20" spans="1:13" s="321" customFormat="1" ht="14.1" hidden="1" customHeight="1" x14ac:dyDescent="0.25">
      <c r="A20" s="781" t="s">
        <v>52</v>
      </c>
      <c r="B20" s="781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303"/>
      <c r="L20" s="303"/>
      <c r="M20" s="303"/>
    </row>
    <row r="21" spans="1:13" s="321" customFormat="1" ht="14.1" hidden="1" customHeight="1" x14ac:dyDescent="0.25">
      <c r="A21" s="314"/>
      <c r="B21" s="205"/>
      <c r="C21" s="198"/>
      <c r="D21" s="198"/>
      <c r="E21" s="170"/>
      <c r="F21" s="199"/>
      <c r="G21" s="170"/>
      <c r="H21" s="207"/>
      <c r="I21" s="303"/>
      <c r="J21" s="303"/>
      <c r="K21" s="303"/>
      <c r="L21" s="303"/>
      <c r="M21" s="303"/>
    </row>
    <row r="22" spans="1:13" s="312" customFormat="1" ht="14.1" hidden="1" customHeight="1" x14ac:dyDescent="0.2">
      <c r="A22" s="787"/>
      <c r="B22" s="787"/>
      <c r="C22" s="209"/>
      <c r="D22" s="209"/>
      <c r="E22" s="210"/>
      <c r="F22" s="171"/>
      <c r="G22" s="170"/>
      <c r="H22" s="170"/>
      <c r="I22" s="170"/>
      <c r="J22" s="304"/>
      <c r="K22" s="304"/>
      <c r="L22" s="304"/>
      <c r="M22" s="304"/>
    </row>
    <row r="23" spans="1:13" s="312" customFormat="1" ht="9.9499999999999993" customHeight="1" x14ac:dyDescent="0.2">
      <c r="A23" s="787" t="s">
        <v>8</v>
      </c>
      <c r="B23" s="787"/>
      <c r="C23" s="209"/>
      <c r="D23" s="209"/>
      <c r="E23" s="210"/>
      <c r="F23" s="171"/>
      <c r="G23" s="304"/>
      <c r="H23" s="304"/>
      <c r="I23" s="304"/>
      <c r="J23" s="304"/>
      <c r="K23" s="304"/>
      <c r="L23" s="304"/>
      <c r="M23" s="304"/>
    </row>
    <row r="24" spans="1:13" s="312" customFormat="1" ht="14.1" hidden="1" customHeight="1" x14ac:dyDescent="0.2">
      <c r="A24" s="212"/>
      <c r="B24" s="212"/>
      <c r="C24" s="213"/>
      <c r="D24" s="213"/>
      <c r="E24" s="214"/>
      <c r="F24" s="215"/>
      <c r="G24" s="215"/>
      <c r="H24" s="215"/>
      <c r="I24" s="304"/>
      <c r="J24" s="304"/>
      <c r="K24" s="304"/>
      <c r="L24" s="304"/>
      <c r="M24" s="304"/>
    </row>
    <row r="25" spans="1:13" s="312" customFormat="1" ht="9.9499999999999993" customHeight="1" x14ac:dyDescent="0.2">
      <c r="A25" s="216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304"/>
      <c r="L25" s="304"/>
      <c r="M25" s="304"/>
    </row>
    <row r="26" spans="1:13" s="312" customFormat="1" ht="9.9499999999999993" customHeight="1" x14ac:dyDescent="0.2">
      <c r="A26" s="216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304"/>
      <c r="L26" s="304"/>
      <c r="M26" s="304"/>
    </row>
    <row r="27" spans="1:13" s="312" customFormat="1" ht="9.9499999999999993" customHeight="1" x14ac:dyDescent="0.2">
      <c r="A27" s="216" t="s">
        <v>54</v>
      </c>
      <c r="B27" s="409">
        <v>7.9947799999999999E-2</v>
      </c>
      <c r="C27" s="223"/>
      <c r="D27" s="223"/>
      <c r="E27" s="171">
        <f>F27</f>
        <v>6168.6043576199991</v>
      </c>
      <c r="F27" s="171">
        <f>B27*F14</f>
        <v>6168.6043576199991</v>
      </c>
      <c r="G27" s="215"/>
      <c r="H27" s="225"/>
      <c r="I27" s="362"/>
      <c r="J27" s="362"/>
      <c r="K27" s="362"/>
      <c r="L27" s="304"/>
      <c r="M27" s="304"/>
    </row>
    <row r="28" spans="1:13" s="312" customFormat="1" ht="9.9499999999999993" customHeight="1" x14ac:dyDescent="0.2">
      <c r="A28" s="216" t="s">
        <v>15</v>
      </c>
      <c r="B28" s="227">
        <v>0.12492399999999999</v>
      </c>
      <c r="C28" s="495"/>
      <c r="D28" s="495"/>
      <c r="E28" s="171">
        <f>B28*F14</f>
        <v>9638.8734995999985</v>
      </c>
      <c r="F28" s="171">
        <v>9638.8700000000008</v>
      </c>
      <c r="G28" s="215"/>
      <c r="H28" s="226"/>
      <c r="I28" s="362"/>
      <c r="J28" s="362"/>
      <c r="K28" s="362"/>
      <c r="L28" s="304"/>
      <c r="M28" s="304"/>
    </row>
    <row r="29" spans="1:13" s="312" customFormat="1" ht="9.9499999999999993" customHeight="1" x14ac:dyDescent="0.2">
      <c r="A29" s="216" t="s">
        <v>55</v>
      </c>
      <c r="B29" s="227">
        <v>0.1</v>
      </c>
      <c r="C29" s="223"/>
      <c r="D29" s="223"/>
      <c r="E29" s="171">
        <f>F29</f>
        <v>9296.5374357620003</v>
      </c>
      <c r="F29" s="171">
        <f>(F14+F27+F28)*B29</f>
        <v>9296.5374357620003</v>
      </c>
      <c r="H29" s="228"/>
      <c r="I29" s="362"/>
      <c r="J29" s="362"/>
      <c r="K29" s="362"/>
      <c r="L29" s="362"/>
      <c r="M29" s="304"/>
    </row>
    <row r="30" spans="1:13" s="312" customFormat="1" ht="9.9499999999999993" customHeight="1" x14ac:dyDescent="0.2">
      <c r="A30" s="216" t="s">
        <v>17</v>
      </c>
      <c r="B30" s="495"/>
      <c r="C30" s="495"/>
      <c r="D30" s="495"/>
      <c r="E30" s="171">
        <f>SUM(E27:E29)</f>
        <v>25104.015292981996</v>
      </c>
      <c r="F30" s="171">
        <f>SUM(F27:F29)+0.01</f>
        <v>25104.021793381999</v>
      </c>
      <c r="H30" s="215"/>
      <c r="I30" s="362"/>
      <c r="J30" s="304"/>
      <c r="K30" s="304"/>
      <c r="L30" s="215"/>
      <c r="M30" s="304"/>
    </row>
    <row r="31" spans="1:13" s="312" customFormat="1" ht="14.1" hidden="1" customHeight="1" x14ac:dyDescent="0.2">
      <c r="A31" s="216"/>
      <c r="B31" s="495"/>
      <c r="C31" s="495"/>
      <c r="D31" s="495"/>
      <c r="E31" s="171"/>
      <c r="F31" s="171"/>
      <c r="H31" s="215"/>
      <c r="I31" s="362"/>
      <c r="J31" s="304"/>
      <c r="K31" s="304"/>
      <c r="L31" s="215"/>
      <c r="M31" s="304"/>
    </row>
    <row r="32" spans="1:13" s="312" customFormat="1" ht="9.9499999999999993" customHeight="1" x14ac:dyDescent="0.2">
      <c r="A32" s="216" t="s">
        <v>18</v>
      </c>
      <c r="B32" s="495"/>
      <c r="C32" s="495"/>
      <c r="D32" s="495"/>
      <c r="E32" s="173" t="s">
        <v>13</v>
      </c>
      <c r="F32" s="171"/>
      <c r="H32" s="215"/>
      <c r="I32" s="362"/>
      <c r="J32" s="304"/>
      <c r="K32" s="304"/>
      <c r="L32" s="215"/>
      <c r="M32" s="304"/>
    </row>
    <row r="33" spans="1:13" s="312" customFormat="1" ht="9.9499999999999993" customHeight="1" x14ac:dyDescent="0.2">
      <c r="A33" s="216" t="s">
        <v>19</v>
      </c>
      <c r="B33" s="227">
        <v>6.4999999999999997E-3</v>
      </c>
      <c r="C33" s="227"/>
      <c r="D33" s="227"/>
      <c r="E33" s="171">
        <v>727.68</v>
      </c>
      <c r="F33" s="171">
        <f>B33*E42</f>
        <v>727.64366902789595</v>
      </c>
      <c r="H33" s="215"/>
      <c r="I33" s="362"/>
      <c r="J33" s="304"/>
      <c r="K33" s="304"/>
      <c r="L33" s="215"/>
      <c r="M33" s="304"/>
    </row>
    <row r="34" spans="1:13" s="312" customFormat="1" ht="9.9499999999999993" customHeight="1" x14ac:dyDescent="0.2">
      <c r="A34" s="216" t="s">
        <v>20</v>
      </c>
      <c r="B34" s="227">
        <v>0.03</v>
      </c>
      <c r="C34" s="229"/>
      <c r="D34" s="229"/>
      <c r="E34" s="171">
        <v>3358.5</v>
      </c>
      <c r="F34" s="171">
        <f>B34*E42</f>
        <v>3358.3553955133661</v>
      </c>
      <c r="H34" s="350" t="s">
        <v>202</v>
      </c>
      <c r="I34" s="362"/>
      <c r="J34" s="304"/>
      <c r="K34" s="304"/>
      <c r="L34" s="215"/>
      <c r="M34" s="304"/>
    </row>
    <row r="35" spans="1:13" s="312" customFormat="1" ht="9.9499999999999993" customHeight="1" x14ac:dyDescent="0.2">
      <c r="A35" s="216" t="s">
        <v>21</v>
      </c>
      <c r="B35" s="227">
        <v>0.05</v>
      </c>
      <c r="C35" s="229"/>
      <c r="D35" s="229"/>
      <c r="E35" s="171">
        <v>5597.5</v>
      </c>
      <c r="F35" s="171">
        <f>B35*E42</f>
        <v>5597.2589925222774</v>
      </c>
      <c r="H35" s="350">
        <f>F30+F36</f>
        <v>34787.279850445542</v>
      </c>
      <c r="I35" s="362">
        <f>B35*E44</f>
        <v>5597.279764649099</v>
      </c>
      <c r="J35" s="461" t="s">
        <v>25</v>
      </c>
      <c r="K35" s="304"/>
      <c r="L35" s="215"/>
      <c r="M35" s="304"/>
    </row>
    <row r="36" spans="1:13" s="312" customFormat="1" ht="9.75" customHeight="1" x14ac:dyDescent="0.2">
      <c r="A36" s="216" t="s">
        <v>17</v>
      </c>
      <c r="B36" s="227">
        <f>SUM(B33:B35)</f>
        <v>8.6499999999999994E-2</v>
      </c>
      <c r="C36" s="227"/>
      <c r="D36" s="227"/>
      <c r="E36" s="171">
        <f>SUM(E33:E35)</f>
        <v>9683.68</v>
      </c>
      <c r="F36" s="171">
        <f>SUM(F33:F35)</f>
        <v>9683.25805706354</v>
      </c>
      <c r="H36" s="215"/>
      <c r="I36" s="362"/>
      <c r="J36" s="533">
        <f>E36-F36</f>
        <v>0.42194293646025471</v>
      </c>
      <c r="K36" s="304"/>
      <c r="L36" s="215"/>
      <c r="M36" s="304"/>
    </row>
    <row r="37" spans="1:13" s="312" customFormat="1" ht="9.9499999999999993" hidden="1" customHeight="1" x14ac:dyDescent="0.2">
      <c r="A37" s="216" t="s">
        <v>155</v>
      </c>
      <c r="B37" s="227">
        <v>0</v>
      </c>
      <c r="C37" s="227"/>
      <c r="D37" s="227"/>
      <c r="E37" s="171">
        <v>0</v>
      </c>
      <c r="F37" s="171"/>
      <c r="H37" s="215"/>
      <c r="I37" s="362"/>
      <c r="J37" s="215"/>
      <c r="K37" s="304"/>
      <c r="L37" s="304"/>
      <c r="M37" s="304"/>
    </row>
    <row r="38" spans="1:13" s="312" customFormat="1" ht="9.75" hidden="1" customHeight="1" x14ac:dyDescent="0.2">
      <c r="A38" s="216" t="s">
        <v>156</v>
      </c>
      <c r="B38" s="227">
        <v>0</v>
      </c>
      <c r="C38" s="227"/>
      <c r="D38" s="227"/>
      <c r="E38" s="171">
        <v>0</v>
      </c>
      <c r="F38" s="171"/>
      <c r="H38" s="215"/>
      <c r="I38" s="362"/>
      <c r="J38" s="215"/>
      <c r="K38" s="304"/>
      <c r="L38" s="304"/>
      <c r="M38" s="304"/>
    </row>
    <row r="39" spans="1:13" s="312" customFormat="1" ht="9.9499999999999993" hidden="1" customHeight="1" x14ac:dyDescent="0.2">
      <c r="A39" s="802" t="s">
        <v>58</v>
      </c>
      <c r="B39" s="802"/>
      <c r="C39" s="213"/>
      <c r="D39" s="213"/>
      <c r="E39" s="215">
        <f>F14+E30</f>
        <v>102261.91529298198</v>
      </c>
      <c r="F39" s="215"/>
      <c r="H39" s="215"/>
      <c r="I39" s="362"/>
      <c r="J39" s="215"/>
      <c r="K39" s="304"/>
      <c r="L39" s="304"/>
      <c r="M39" s="304"/>
    </row>
    <row r="40" spans="1:13" s="312" customFormat="1" ht="9.9499999999999993" hidden="1" customHeight="1" x14ac:dyDescent="0.2">
      <c r="A40" s="796" t="s">
        <v>59</v>
      </c>
      <c r="B40" s="796"/>
      <c r="C40" s="495"/>
      <c r="D40" s="495"/>
      <c r="E40" s="171">
        <f>F14+F30</f>
        <v>102261.92179338199</v>
      </c>
      <c r="F40" s="215"/>
      <c r="H40" s="215"/>
      <c r="I40" s="362"/>
      <c r="J40" s="215"/>
      <c r="K40" s="304"/>
      <c r="L40" s="304"/>
      <c r="M40" s="304"/>
    </row>
    <row r="41" spans="1:13" s="312" customFormat="1" ht="9.9499999999999993" hidden="1" customHeight="1" x14ac:dyDescent="0.2">
      <c r="A41" s="496"/>
      <c r="B41" s="496"/>
      <c r="C41" s="495"/>
      <c r="D41" s="495"/>
      <c r="E41" s="171">
        <f>E39/(1-B36)</f>
        <v>111945.17273451778</v>
      </c>
      <c r="F41" s="215"/>
      <c r="H41" s="215"/>
      <c r="I41" s="362"/>
      <c r="J41" s="215"/>
      <c r="K41" s="304"/>
      <c r="L41" s="304"/>
      <c r="M41" s="304"/>
    </row>
    <row r="42" spans="1:13" s="312" customFormat="1" ht="9.9499999999999993" hidden="1" customHeight="1" x14ac:dyDescent="0.2">
      <c r="A42" s="796" t="s">
        <v>60</v>
      </c>
      <c r="B42" s="796"/>
      <c r="C42" s="495"/>
      <c r="D42" s="495"/>
      <c r="E42" s="171">
        <f>E40/(1-B36)</f>
        <v>111945.17985044554</v>
      </c>
      <c r="F42" s="215"/>
      <c r="H42" s="215"/>
      <c r="I42" s="362"/>
      <c r="J42" s="215"/>
      <c r="K42" s="304"/>
      <c r="L42" s="304"/>
      <c r="M42" s="304"/>
    </row>
    <row r="43" spans="1:13" s="406" customFormat="1" ht="9.9499999999999993" customHeight="1" x14ac:dyDescent="0.2">
      <c r="A43" s="776" t="s">
        <v>24</v>
      </c>
      <c r="B43" s="776"/>
      <c r="C43" s="495"/>
      <c r="D43" s="495"/>
      <c r="E43" s="173" t="s">
        <v>10</v>
      </c>
      <c r="F43" s="350" t="s">
        <v>144</v>
      </c>
      <c r="H43" s="364"/>
      <c r="I43" s="362"/>
      <c r="J43" s="386" t="s">
        <v>25</v>
      </c>
      <c r="K43" s="566"/>
      <c r="L43" s="566"/>
      <c r="M43" s="566"/>
    </row>
    <row r="44" spans="1:13" s="312" customFormat="1" ht="9.9499999999999993" customHeight="1" x14ac:dyDescent="0.2">
      <c r="A44" s="776" t="s">
        <v>26</v>
      </c>
      <c r="B44" s="776"/>
      <c r="C44" s="495"/>
      <c r="D44" s="495"/>
      <c r="E44" s="171">
        <f>F14+E30+E36</f>
        <v>111945.59529298198</v>
      </c>
      <c r="F44" s="171">
        <f>F14+F30+F36-0.01</f>
        <v>111945.16985044554</v>
      </c>
      <c r="H44" s="215"/>
      <c r="I44" s="304"/>
      <c r="J44" s="389">
        <f>F44-E44</f>
        <v>-0.4254425364342751</v>
      </c>
      <c r="K44" s="304"/>
      <c r="L44" s="304"/>
      <c r="M44" s="304"/>
    </row>
    <row r="45" spans="1:13" s="312" customFormat="1" ht="9.9499999999999993" customHeight="1" x14ac:dyDescent="0.2">
      <c r="A45" s="776" t="s">
        <v>27</v>
      </c>
      <c r="B45" s="776"/>
      <c r="C45" s="209"/>
      <c r="D45" s="209"/>
      <c r="E45" s="171">
        <f>E44*12+0.06</f>
        <v>1343347.2035157839</v>
      </c>
      <c r="F45" s="171">
        <f>F44*12</f>
        <v>1343342.0382053466</v>
      </c>
      <c r="H45" s="215"/>
      <c r="I45" s="304"/>
      <c r="J45" s="389">
        <f>F45-E45+0.01</f>
        <v>-5.1553104373253884</v>
      </c>
      <c r="K45" s="304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>
        <f>1343342.04-E45</f>
        <v>-5.1635157838463783</v>
      </c>
    </row>
    <row r="48" spans="1:13" x14ac:dyDescent="0.25">
      <c r="E48" s="224"/>
    </row>
    <row r="49" spans="5:7" s="190" customFormat="1" x14ac:dyDescent="0.25">
      <c r="E49" s="224"/>
      <c r="F49" s="224"/>
      <c r="G49" s="224"/>
    </row>
    <row r="50" spans="5:7" s="190" customFormat="1" x14ac:dyDescent="0.25">
      <c r="E50" s="224"/>
      <c r="F50" s="224"/>
      <c r="G50" s="224"/>
    </row>
    <row r="51" spans="5:7" s="190" customFormat="1" x14ac:dyDescent="0.25">
      <c r="E51" s="224"/>
      <c r="F51" s="224"/>
      <c r="G51" s="224"/>
    </row>
    <row r="52" spans="5:7" s="190" customFormat="1" x14ac:dyDescent="0.25">
      <c r="E52" s="238"/>
      <c r="F52" s="224"/>
      <c r="G52" s="224"/>
    </row>
  </sheetData>
  <mergeCells count="18"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B0F0"/>
  </sheetPr>
  <dimension ref="A1:AML51"/>
  <sheetViews>
    <sheetView topLeftCell="A9" zoomScale="120" zoomScaleNormal="120" workbookViewId="0">
      <selection activeCell="A9" sqref="A9:A10"/>
    </sheetView>
  </sheetViews>
  <sheetFormatPr defaultColWidth="9.140625" defaultRowHeight="15" x14ac:dyDescent="0.25"/>
  <cols>
    <col min="1" max="1" width="24.42578125" style="23" customWidth="1"/>
    <col min="2" max="2" width="10.42578125" style="23" customWidth="1"/>
    <col min="3" max="3" width="6.85546875" style="24" customWidth="1"/>
    <col min="4" max="4" width="8.140625" style="24" customWidth="1"/>
    <col min="5" max="5" width="11.5703125" style="25" customWidth="1"/>
    <col min="6" max="6" width="13.28515625" style="26" customWidth="1"/>
    <col min="7" max="7" width="11.7109375" style="26" customWidth="1"/>
    <col min="8" max="8" width="10.42578125" style="26" customWidth="1"/>
    <col min="9" max="9" width="13.140625" style="1" customWidth="1"/>
    <col min="10" max="10" width="11.85546875" style="27" customWidth="1"/>
    <col min="11" max="13" width="9.140625" style="1"/>
    <col min="14" max="1026" width="9.140625" style="28"/>
  </cols>
  <sheetData>
    <row r="1" spans="1:13" x14ac:dyDescent="0.25">
      <c r="A1" s="688" t="s">
        <v>158</v>
      </c>
      <c r="B1" s="688"/>
      <c r="C1" s="688"/>
      <c r="D1" s="688"/>
      <c r="E1" s="688"/>
      <c r="F1" s="688"/>
      <c r="G1" s="688"/>
      <c r="H1" s="688"/>
    </row>
    <row r="2" spans="1:13" s="33" customFormat="1" ht="18" customHeight="1" x14ac:dyDescent="0.25">
      <c r="A2" s="698" t="s">
        <v>28</v>
      </c>
      <c r="B2" s="698"/>
      <c r="C2" s="29" t="s">
        <v>29</v>
      </c>
      <c r="D2" s="30" t="s">
        <v>153</v>
      </c>
      <c r="E2" s="30" t="s">
        <v>30</v>
      </c>
      <c r="F2" s="29" t="s">
        <v>31</v>
      </c>
      <c r="G2" s="29" t="s">
        <v>32</v>
      </c>
      <c r="H2" s="29" t="s">
        <v>154</v>
      </c>
      <c r="I2" s="31"/>
      <c r="J2" s="31"/>
      <c r="K2" s="32"/>
      <c r="L2" s="32"/>
      <c r="M2" s="32"/>
    </row>
    <row r="3" spans="1:13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6">
        <v>0</v>
      </c>
      <c r="F3" s="37"/>
      <c r="G3" s="36"/>
      <c r="H3" s="36"/>
      <c r="I3" s="31"/>
      <c r="J3" s="31"/>
      <c r="K3" s="32"/>
      <c r="L3" s="32"/>
      <c r="M3" s="32"/>
    </row>
    <row r="4" spans="1:13" s="33" customFormat="1" ht="14.1" hidden="1" customHeight="1" x14ac:dyDescent="0.25">
      <c r="A4" s="697" t="s">
        <v>34</v>
      </c>
      <c r="B4" s="697"/>
      <c r="C4" s="35"/>
      <c r="D4" s="36"/>
      <c r="E4" s="36"/>
      <c r="F4" s="37"/>
      <c r="G4" s="36"/>
      <c r="H4" s="36"/>
      <c r="I4" s="31"/>
      <c r="J4" s="31"/>
      <c r="K4" s="32"/>
      <c r="L4" s="32"/>
      <c r="M4" s="32"/>
    </row>
    <row r="5" spans="1:13" s="33" customFormat="1" ht="14.1" hidden="1" customHeight="1" x14ac:dyDescent="0.25">
      <c r="A5" s="697" t="s">
        <v>35</v>
      </c>
      <c r="B5" s="697"/>
      <c r="C5" s="35"/>
      <c r="D5" s="36"/>
      <c r="E5" s="36"/>
      <c r="F5" s="37"/>
      <c r="G5" s="36"/>
      <c r="H5" s="36"/>
      <c r="I5" s="31"/>
      <c r="J5" s="31"/>
      <c r="K5" s="32"/>
      <c r="L5" s="32"/>
      <c r="M5" s="32"/>
    </row>
    <row r="6" spans="1:13" s="33" customFormat="1" ht="14.1" hidden="1" customHeight="1" x14ac:dyDescent="0.25">
      <c r="A6" s="697" t="s">
        <v>159</v>
      </c>
      <c r="B6" s="697"/>
      <c r="C6" s="35"/>
      <c r="D6" s="36"/>
      <c r="E6" s="36"/>
      <c r="F6" s="37"/>
      <c r="G6" s="36"/>
      <c r="H6" s="36"/>
      <c r="I6" s="31"/>
      <c r="J6" s="31"/>
      <c r="K6" s="32"/>
      <c r="L6" s="32"/>
      <c r="M6" s="32"/>
    </row>
    <row r="7" spans="1:13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30">
        <f>SUM(E3:E6)</f>
        <v>0</v>
      </c>
      <c r="F7" s="29"/>
      <c r="G7" s="36"/>
      <c r="H7" s="36"/>
      <c r="I7" s="31"/>
      <c r="J7" s="31"/>
      <c r="K7" s="32"/>
      <c r="L7" s="32"/>
      <c r="M7" s="32"/>
    </row>
    <row r="8" spans="1:13" s="33" customFormat="1" ht="11.1" hidden="1" customHeight="1" x14ac:dyDescent="0.25">
      <c r="A8" s="39"/>
      <c r="B8" s="40"/>
      <c r="C8" s="41"/>
      <c r="D8" s="30"/>
      <c r="E8" s="30"/>
      <c r="F8" s="29"/>
      <c r="G8" s="36"/>
      <c r="H8" s="36"/>
      <c r="I8" s="31"/>
      <c r="J8" s="31"/>
      <c r="K8" s="32"/>
      <c r="L8" s="32"/>
      <c r="M8" s="32"/>
    </row>
    <row r="9" spans="1:13" s="33" customFormat="1" ht="9.9499999999999993" customHeight="1" x14ac:dyDescent="0.25">
      <c r="A9" s="240" t="s">
        <v>159</v>
      </c>
      <c r="B9" s="241"/>
      <c r="C9" s="35">
        <v>365</v>
      </c>
      <c r="D9" s="37"/>
      <c r="E9" s="37">
        <v>135</v>
      </c>
      <c r="F9" s="37">
        <f>C9*E9</f>
        <v>49275</v>
      </c>
      <c r="G9" s="36"/>
      <c r="H9" s="179">
        <f>F9*G9</f>
        <v>0</v>
      </c>
      <c r="I9" s="31" t="e">
        <f>F9/G9</f>
        <v>#DIV/0!</v>
      </c>
      <c r="J9" s="31"/>
      <c r="K9" s="32"/>
      <c r="L9" s="32"/>
      <c r="M9" s="32"/>
    </row>
    <row r="10" spans="1:13" s="33" customFormat="1" ht="9.9499999999999993" customHeight="1" x14ac:dyDescent="0.25">
      <c r="A10" s="240" t="s">
        <v>160</v>
      </c>
      <c r="B10" s="241"/>
      <c r="C10" s="35">
        <v>102</v>
      </c>
      <c r="D10" s="37"/>
      <c r="E10" s="37">
        <v>135</v>
      </c>
      <c r="F10" s="37">
        <f>C10*E10</f>
        <v>13770</v>
      </c>
      <c r="G10" s="36"/>
      <c r="H10" s="179">
        <f t="shared" ref="H10:H12" si="0">F10*G10</f>
        <v>0</v>
      </c>
      <c r="I10" s="31" t="e">
        <f>F10/G10</f>
        <v>#DIV/0!</v>
      </c>
      <c r="J10" s="31"/>
      <c r="K10" s="32"/>
      <c r="L10" s="32"/>
      <c r="M10" s="32"/>
    </row>
    <row r="11" spans="1:13" s="33" customFormat="1" ht="9.9499999999999993" customHeight="1" x14ac:dyDescent="0.25">
      <c r="A11" s="697"/>
      <c r="B11" s="697"/>
      <c r="C11" s="35">
        <v>0</v>
      </c>
      <c r="D11" s="37"/>
      <c r="E11" s="37">
        <v>135</v>
      </c>
      <c r="F11" s="37">
        <f>C11*E11</f>
        <v>0</v>
      </c>
      <c r="G11" s="36"/>
      <c r="H11" s="179">
        <f t="shared" si="0"/>
        <v>0</v>
      </c>
      <c r="I11" s="31" t="e">
        <f>F11/G11</f>
        <v>#DIV/0!</v>
      </c>
      <c r="J11" s="31"/>
      <c r="K11" s="32"/>
      <c r="L11" s="32"/>
      <c r="M11" s="32"/>
    </row>
    <row r="12" spans="1:13" s="33" customFormat="1" ht="9.9499999999999993" customHeight="1" x14ac:dyDescent="0.25">
      <c r="A12" s="697"/>
      <c r="B12" s="697"/>
      <c r="C12" s="35">
        <v>0</v>
      </c>
      <c r="D12" s="37"/>
      <c r="E12" s="37">
        <v>0</v>
      </c>
      <c r="F12" s="37">
        <f>C12*E12</f>
        <v>0</v>
      </c>
      <c r="G12" s="36"/>
      <c r="H12" s="179">
        <f t="shared" si="0"/>
        <v>0</v>
      </c>
      <c r="I12" s="31" t="e">
        <f>F12/G12</f>
        <v>#DIV/0!</v>
      </c>
      <c r="J12" s="31"/>
      <c r="K12" s="32"/>
      <c r="L12" s="32"/>
      <c r="M12" s="32"/>
    </row>
    <row r="13" spans="1:13" s="33" customFormat="1" ht="9.9499999999999993" customHeight="1" x14ac:dyDescent="0.25">
      <c r="A13" s="34"/>
      <c r="B13" s="42"/>
      <c r="C13" s="35">
        <v>0</v>
      </c>
      <c r="D13" s="37">
        <v>0</v>
      </c>
      <c r="E13" s="37">
        <v>0</v>
      </c>
      <c r="F13" s="37">
        <f>C13*E13</f>
        <v>0</v>
      </c>
      <c r="G13" s="36"/>
      <c r="H13" s="36"/>
      <c r="I13" s="31"/>
      <c r="J13" s="31"/>
      <c r="K13" s="32"/>
      <c r="L13" s="32"/>
      <c r="M13" s="32"/>
    </row>
    <row r="14" spans="1:13" s="33" customFormat="1" ht="9.9499999999999993" customHeight="1" x14ac:dyDescent="0.15">
      <c r="A14" s="693" t="s">
        <v>8</v>
      </c>
      <c r="B14" s="693"/>
      <c r="C14" s="30">
        <v>468</v>
      </c>
      <c r="D14" s="37">
        <f>SUM(D9:D13)</f>
        <v>0</v>
      </c>
      <c r="E14" s="37">
        <v>135</v>
      </c>
      <c r="F14" s="29">
        <f>SUM(F9:F13)</f>
        <v>63045</v>
      </c>
      <c r="G14" s="30">
        <f>SUM(G9:G12)</f>
        <v>0</v>
      </c>
      <c r="H14" s="180">
        <f>SUM(H9:H12)</f>
        <v>0</v>
      </c>
      <c r="I14" s="31" t="e">
        <f>F14/G14</f>
        <v>#DIV/0!</v>
      </c>
      <c r="J14" s="31"/>
      <c r="K14" s="32"/>
      <c r="L14" s="32"/>
      <c r="M14" s="32"/>
    </row>
    <row r="15" spans="1:13" s="33" customFormat="1" ht="14.1" hidden="1" customHeight="1" x14ac:dyDescent="0.25">
      <c r="A15" s="34"/>
      <c r="B15" s="42"/>
      <c r="C15" s="35"/>
      <c r="D15" s="35"/>
      <c r="E15" s="37"/>
      <c r="F15" s="29"/>
      <c r="G15" s="36"/>
      <c r="H15" s="178"/>
      <c r="I15" s="31"/>
      <c r="J15" s="31"/>
      <c r="K15" s="32"/>
      <c r="L15" s="32"/>
      <c r="M15" s="32"/>
    </row>
    <row r="16" spans="1:13" s="33" customFormat="1" ht="14.1" hidden="1" customHeight="1" x14ac:dyDescent="0.25">
      <c r="A16" s="34" t="s">
        <v>49</v>
      </c>
      <c r="B16" s="42"/>
      <c r="C16" s="35"/>
      <c r="D16" s="35"/>
      <c r="E16" s="36"/>
      <c r="F16" s="37">
        <v>0</v>
      </c>
      <c r="G16" s="36"/>
      <c r="H16" s="178"/>
      <c r="I16" s="31"/>
      <c r="J16" s="31"/>
      <c r="K16" s="32"/>
      <c r="L16" s="32"/>
      <c r="M16" s="32"/>
    </row>
    <row r="17" spans="1:13" s="33" customFormat="1" ht="14.1" hidden="1" customHeight="1" x14ac:dyDescent="0.25">
      <c r="A17" s="44" t="s">
        <v>50</v>
      </c>
      <c r="B17" s="42"/>
      <c r="C17" s="35"/>
      <c r="D17" s="35"/>
      <c r="E17" s="30">
        <f>SUM(E16)</f>
        <v>0</v>
      </c>
      <c r="F17" s="29"/>
      <c r="G17" s="36"/>
      <c r="H17" s="178"/>
      <c r="I17" s="31"/>
      <c r="J17" s="31"/>
      <c r="K17" s="32"/>
      <c r="L17" s="32"/>
      <c r="M17" s="32"/>
    </row>
    <row r="18" spans="1:13" s="33" customFormat="1" ht="14.1" hidden="1" customHeight="1" x14ac:dyDescent="0.25">
      <c r="A18" s="34"/>
      <c r="B18" s="42"/>
      <c r="C18" s="35"/>
      <c r="D18" s="35"/>
      <c r="E18" s="30"/>
      <c r="F18" s="29"/>
      <c r="G18" s="36"/>
      <c r="H18" s="178"/>
      <c r="I18" s="31"/>
      <c r="J18" s="31"/>
      <c r="K18" s="32"/>
      <c r="L18" s="32"/>
      <c r="M18" s="32"/>
    </row>
    <row r="19" spans="1:13" s="33" customFormat="1" ht="14.1" hidden="1" customHeight="1" x14ac:dyDescent="0.25">
      <c r="A19" s="34" t="s">
        <v>51</v>
      </c>
      <c r="B19" s="42"/>
      <c r="C19" s="35"/>
      <c r="D19" s="35"/>
      <c r="E19" s="36"/>
      <c r="F19" s="37">
        <v>0</v>
      </c>
      <c r="G19" s="36"/>
      <c r="H19" s="178"/>
      <c r="I19" s="31"/>
      <c r="J19" s="31"/>
      <c r="K19" s="32"/>
      <c r="L19" s="32"/>
      <c r="M19" s="32"/>
    </row>
    <row r="20" spans="1:13" s="33" customFormat="1" ht="14.1" hidden="1" customHeight="1" x14ac:dyDescent="0.25">
      <c r="A20" s="696" t="s">
        <v>52</v>
      </c>
      <c r="B20" s="696"/>
      <c r="C20" s="38"/>
      <c r="D20" s="38"/>
      <c r="E20" s="30">
        <f>SUM(E19)</f>
        <v>0</v>
      </c>
      <c r="F20" s="29"/>
      <c r="G20" s="36" t="e">
        <f>G14+#REF!</f>
        <v>#REF!</v>
      </c>
      <c r="H20" s="178"/>
      <c r="I20" s="31"/>
      <c r="J20" s="31"/>
      <c r="K20" s="32"/>
      <c r="L20" s="32"/>
      <c r="M20" s="32"/>
    </row>
    <row r="21" spans="1:13" s="33" customFormat="1" ht="14.1" hidden="1" customHeight="1" x14ac:dyDescent="0.25">
      <c r="A21" s="34"/>
      <c r="B21" s="42"/>
      <c r="C21" s="35"/>
      <c r="D21" s="35"/>
      <c r="E21" s="30"/>
      <c r="F21" s="29"/>
      <c r="G21" s="36"/>
      <c r="H21" s="178"/>
      <c r="I21" s="31"/>
      <c r="J21" s="31"/>
      <c r="K21" s="32"/>
      <c r="L21" s="32"/>
      <c r="M21" s="32"/>
    </row>
    <row r="22" spans="1:13" ht="14.1" hidden="1" customHeight="1" x14ac:dyDescent="0.25">
      <c r="A22" s="692"/>
      <c r="B22" s="692"/>
      <c r="C22" s="49"/>
      <c r="D22" s="49"/>
      <c r="E22" s="50"/>
      <c r="F22" s="51"/>
      <c r="G22" s="36"/>
      <c r="H22" s="36"/>
      <c r="I22" s="36"/>
    </row>
    <row r="23" spans="1:13" ht="9.9499999999999993" customHeight="1" x14ac:dyDescent="0.25">
      <c r="A23" s="693" t="s">
        <v>8</v>
      </c>
      <c r="B23" s="693"/>
      <c r="C23" s="46"/>
      <c r="D23" s="176"/>
      <c r="E23" s="50"/>
      <c r="F23" s="52">
        <f>F14</f>
        <v>63045</v>
      </c>
      <c r="G23" s="1"/>
      <c r="H23" s="1"/>
    </row>
    <row r="24" spans="1:13" ht="14.1" hidden="1" customHeight="1" x14ac:dyDescent="0.25">
      <c r="A24" s="53"/>
      <c r="B24" s="53"/>
      <c r="C24" s="54"/>
      <c r="D24" s="54"/>
      <c r="E24" s="55"/>
      <c r="F24" s="56"/>
      <c r="G24" s="56"/>
      <c r="H24" s="56"/>
      <c r="I24" s="1">
        <f>I25-F23</f>
        <v>-63045.03</v>
      </c>
    </row>
    <row r="25" spans="1:13" ht="9.9499999999999993" customHeight="1" x14ac:dyDescent="0.25">
      <c r="A25" s="57"/>
      <c r="B25" s="162" t="s">
        <v>9</v>
      </c>
      <c r="C25" s="162"/>
      <c r="D25" s="162"/>
      <c r="E25" s="163" t="s">
        <v>10</v>
      </c>
      <c r="F25" s="164" t="s">
        <v>144</v>
      </c>
      <c r="G25" s="56"/>
      <c r="H25" s="56"/>
      <c r="I25" s="74">
        <f>H14+F27</f>
        <v>-0.03</v>
      </c>
    </row>
    <row r="26" spans="1:13" ht="9.9499999999999993" customHeight="1" x14ac:dyDescent="0.25">
      <c r="A26" s="59" t="s">
        <v>12</v>
      </c>
      <c r="B26" s="57"/>
      <c r="C26" s="48"/>
      <c r="D26" s="175"/>
      <c r="E26" s="60" t="s">
        <v>13</v>
      </c>
      <c r="F26" s="58" t="s">
        <v>13</v>
      </c>
      <c r="G26" s="56"/>
      <c r="H26" s="56"/>
      <c r="I26" s="182">
        <f>E29/I25</f>
        <v>-197017.60000000001</v>
      </c>
    </row>
    <row r="27" spans="1:13" ht="9.9499999999999993" customHeight="1" x14ac:dyDescent="0.25">
      <c r="A27" s="59" t="s">
        <v>54</v>
      </c>
      <c r="B27" s="61">
        <v>0.08</v>
      </c>
      <c r="C27" s="61"/>
      <c r="D27" s="61"/>
      <c r="E27" s="51">
        <f>B27*F14</f>
        <v>5043.6000000000004</v>
      </c>
      <c r="F27" s="51">
        <f>B27*H14-0.03</f>
        <v>-0.03</v>
      </c>
      <c r="H27" s="62"/>
      <c r="I27" s="181" t="e">
        <f>E27/H14</f>
        <v>#DIV/0!</v>
      </c>
      <c r="J27" s="27">
        <v>118408</v>
      </c>
    </row>
    <row r="28" spans="1:13" ht="9.9499999999999993" customHeight="1" x14ac:dyDescent="0.25">
      <c r="A28" s="184" t="s">
        <v>15</v>
      </c>
      <c r="B28" s="48">
        <v>0</v>
      </c>
      <c r="C28" s="48"/>
      <c r="D28" s="175"/>
      <c r="E28" s="185">
        <v>5793</v>
      </c>
      <c r="F28" s="51">
        <f>E28</f>
        <v>5793</v>
      </c>
      <c r="H28" s="177"/>
      <c r="I28" s="62">
        <f>F23+F27</f>
        <v>63044.97</v>
      </c>
      <c r="J28" s="27">
        <v>30</v>
      </c>
    </row>
    <row r="29" spans="1:13" ht="9.9499999999999993" customHeight="1" x14ac:dyDescent="0.25">
      <c r="A29" s="59" t="s">
        <v>55</v>
      </c>
      <c r="B29" s="64">
        <v>0.08</v>
      </c>
      <c r="C29" s="61"/>
      <c r="D29" s="61"/>
      <c r="E29" s="51">
        <f>B29*(F23+E27+E28)</f>
        <v>5910.5280000000002</v>
      </c>
      <c r="F29" s="51">
        <f>(H14+F27+F28)*B29-0.06</f>
        <v>463.37760000000003</v>
      </c>
      <c r="G29" s="63"/>
      <c r="H29" s="63"/>
      <c r="I29" s="177">
        <f>F27/I28%</f>
        <v>-4.7585080935084907E-5</v>
      </c>
      <c r="J29" s="27">
        <f>J27/30</f>
        <v>3946.9333333333334</v>
      </c>
    </row>
    <row r="30" spans="1:13" ht="9.9499999999999993" customHeight="1" x14ac:dyDescent="0.25">
      <c r="A30" s="59" t="s">
        <v>17</v>
      </c>
      <c r="B30" s="48"/>
      <c r="C30" s="48"/>
      <c r="D30" s="175"/>
      <c r="E30" s="52">
        <f>SUM(E27:E29)</f>
        <v>16747.128000000001</v>
      </c>
      <c r="F30" s="52">
        <f>SUM(F27:F29)-0.01</f>
        <v>6256.3375999999998</v>
      </c>
      <c r="G30" s="56"/>
      <c r="H30" s="56"/>
    </row>
    <row r="31" spans="1:13" ht="14.1" hidden="1" customHeight="1" x14ac:dyDescent="0.25">
      <c r="A31" s="59"/>
      <c r="B31" s="48"/>
      <c r="C31" s="48"/>
      <c r="D31" s="175"/>
      <c r="E31" s="51"/>
      <c r="F31" s="51"/>
      <c r="G31" s="56"/>
      <c r="H31" s="56"/>
    </row>
    <row r="32" spans="1:13" ht="9.9499999999999993" customHeight="1" x14ac:dyDescent="0.25">
      <c r="A32" s="59" t="s">
        <v>18</v>
      </c>
      <c r="B32" s="48"/>
      <c r="C32" s="48"/>
      <c r="D32" s="175"/>
      <c r="E32" s="58" t="s">
        <v>13</v>
      </c>
      <c r="F32" s="51"/>
      <c r="G32" s="56"/>
      <c r="H32" s="56"/>
      <c r="I32" s="1">
        <f>3359.96/0.65%</f>
        <v>516916.92307692306</v>
      </c>
    </row>
    <row r="33" spans="1:13" ht="9.9499999999999993" customHeight="1" x14ac:dyDescent="0.25">
      <c r="A33" s="184" t="s">
        <v>19</v>
      </c>
      <c r="B33" s="64">
        <v>6.4999999999999997E-3</v>
      </c>
      <c r="C33" s="64"/>
      <c r="D33" s="64"/>
      <c r="E33" s="185">
        <v>0</v>
      </c>
      <c r="F33" s="51">
        <f>B33*E41</f>
        <v>44.516906841817182</v>
      </c>
      <c r="G33" s="56"/>
      <c r="H33" s="56"/>
      <c r="I33" s="1">
        <f>15507.5/3%</f>
        <v>516916.66666666669</v>
      </c>
      <c r="J33" s="27">
        <v>14217.85</v>
      </c>
    </row>
    <row r="34" spans="1:13" ht="9.9499999999999993" customHeight="1" x14ac:dyDescent="0.25">
      <c r="A34" s="184" t="s">
        <v>20</v>
      </c>
      <c r="B34" s="65">
        <v>0.03</v>
      </c>
      <c r="C34" s="65"/>
      <c r="D34" s="65"/>
      <c r="E34" s="185">
        <v>0</v>
      </c>
      <c r="F34" s="51">
        <f>B34*E41</f>
        <v>205.46264696223315</v>
      </c>
      <c r="G34" s="56"/>
      <c r="H34" s="56"/>
      <c r="I34" s="1">
        <f>25845.83/5%</f>
        <v>516916.60000000003</v>
      </c>
      <c r="J34" s="27">
        <f>J33/B33</f>
        <v>2187361.5384615385</v>
      </c>
    </row>
    <row r="35" spans="1:13" ht="9.9499999999999993" customHeight="1" x14ac:dyDescent="0.25">
      <c r="A35" s="184" t="s">
        <v>21</v>
      </c>
      <c r="B35" s="65">
        <v>0.05</v>
      </c>
      <c r="C35" s="65"/>
      <c r="D35" s="65"/>
      <c r="E35" s="185">
        <v>0</v>
      </c>
      <c r="F35" s="51">
        <f>B35*E41</f>
        <v>342.4377449370553</v>
      </c>
      <c r="G35" s="56"/>
      <c r="H35" s="56"/>
    </row>
    <row r="36" spans="1:13" ht="9.9499999999999993" customHeight="1" x14ac:dyDescent="0.25">
      <c r="A36" s="59" t="s">
        <v>17</v>
      </c>
      <c r="B36" s="64">
        <f>SUM(B33:B35)</f>
        <v>8.6499999999999994E-2</v>
      </c>
      <c r="C36" s="64"/>
      <c r="D36" s="64"/>
      <c r="E36" s="186">
        <f>SUM(E33:E35)</f>
        <v>0</v>
      </c>
      <c r="F36" s="52">
        <f>SUM(F33:F35)</f>
        <v>592.4172987411057</v>
      </c>
      <c r="G36" s="56"/>
      <c r="H36" s="56"/>
      <c r="I36" s="1">
        <v>3600</v>
      </c>
      <c r="J36" s="27">
        <f>J34-G23-E30</f>
        <v>2170614.4104615385</v>
      </c>
    </row>
    <row r="37" spans="1:13" ht="9.9499999999999993" customHeight="1" x14ac:dyDescent="0.25">
      <c r="A37" s="184" t="s">
        <v>155</v>
      </c>
      <c r="B37" s="187">
        <v>0</v>
      </c>
      <c r="C37" s="64"/>
      <c r="D37" s="64"/>
      <c r="E37" s="185">
        <v>4114</v>
      </c>
      <c r="F37" s="51"/>
      <c r="G37" s="56"/>
      <c r="H37" s="56"/>
      <c r="I37" s="1">
        <v>4500</v>
      </c>
      <c r="J37" s="66">
        <f>E34/B34</f>
        <v>0</v>
      </c>
    </row>
    <row r="38" spans="1:13" ht="9.75" customHeight="1" x14ac:dyDescent="0.25">
      <c r="A38" s="184" t="s">
        <v>156</v>
      </c>
      <c r="B38" s="187">
        <v>0</v>
      </c>
      <c r="C38" s="64"/>
      <c r="D38" s="64"/>
      <c r="E38" s="185">
        <v>57496.959999999999</v>
      </c>
      <c r="F38" s="51"/>
      <c r="G38" s="56"/>
      <c r="H38" s="56"/>
      <c r="I38" s="1">
        <v>5500</v>
      </c>
      <c r="J38" s="27">
        <f>E35/B35</f>
        <v>0</v>
      </c>
    </row>
    <row r="39" spans="1:13" ht="9.9499999999999993" hidden="1" customHeight="1" x14ac:dyDescent="0.25">
      <c r="A39" s="694" t="s">
        <v>58</v>
      </c>
      <c r="B39" s="694"/>
      <c r="C39" s="54"/>
      <c r="D39" s="54"/>
      <c r="E39" s="67">
        <v>516916.6</v>
      </c>
      <c r="F39" s="56"/>
      <c r="G39" s="56"/>
      <c r="H39" s="56"/>
      <c r="I39" s="1">
        <v>1000</v>
      </c>
      <c r="J39" s="27">
        <f>0.65%*J34</f>
        <v>14217.850000000002</v>
      </c>
    </row>
    <row r="40" spans="1:13" ht="9.9499999999999993" hidden="1" customHeight="1" x14ac:dyDescent="0.25">
      <c r="A40" s="695" t="s">
        <v>59</v>
      </c>
      <c r="B40" s="695"/>
      <c r="C40" s="48"/>
      <c r="D40" s="175"/>
      <c r="E40" s="52">
        <f>H14+F30</f>
        <v>6256.3375999999998</v>
      </c>
      <c r="F40" s="56"/>
      <c r="G40" s="56"/>
      <c r="H40" s="56"/>
      <c r="I40" s="1">
        <f>I36-F9</f>
        <v>-45675</v>
      </c>
      <c r="J40" s="27">
        <f>3%*J34</f>
        <v>65620.846153846156</v>
      </c>
    </row>
    <row r="41" spans="1:13" ht="9.9499999999999993" hidden="1" customHeight="1" x14ac:dyDescent="0.25">
      <c r="A41" s="695" t="s">
        <v>60</v>
      </c>
      <c r="B41" s="695"/>
      <c r="C41" s="48"/>
      <c r="D41" s="175"/>
      <c r="E41" s="68">
        <f>E40/(1-B36)</f>
        <v>6848.7548987411055</v>
      </c>
      <c r="F41" s="56"/>
      <c r="G41" s="56"/>
      <c r="H41" s="56"/>
      <c r="I41" s="1">
        <f t="shared" ref="I41:I44" si="1">I37-F10</f>
        <v>-9270</v>
      </c>
      <c r="J41" s="27">
        <f>5%*J34</f>
        <v>109368.07692307694</v>
      </c>
    </row>
    <row r="42" spans="1:13" s="72" customFormat="1" ht="9.9499999999999993" customHeight="1" x14ac:dyDescent="0.25">
      <c r="A42" s="691" t="s">
        <v>24</v>
      </c>
      <c r="B42" s="691"/>
      <c r="C42" s="45"/>
      <c r="D42" s="174"/>
      <c r="E42" s="165" t="s">
        <v>10</v>
      </c>
      <c r="F42" s="164" t="s">
        <v>144</v>
      </c>
      <c r="G42" s="166" t="s">
        <v>25</v>
      </c>
      <c r="H42" s="183"/>
      <c r="I42" s="1">
        <f t="shared" si="1"/>
        <v>5500</v>
      </c>
      <c r="J42" s="71"/>
      <c r="K42" s="70"/>
      <c r="L42" s="70"/>
      <c r="M42" s="70"/>
    </row>
    <row r="43" spans="1:13" ht="9.9499999999999993" customHeight="1" x14ac:dyDescent="0.25">
      <c r="A43" s="691" t="s">
        <v>26</v>
      </c>
      <c r="B43" s="691"/>
      <c r="C43" s="45"/>
      <c r="D43" s="174"/>
      <c r="E43" s="52">
        <f>H14+E30+E37+E38</f>
        <v>78358.088000000003</v>
      </c>
      <c r="F43" s="52">
        <f>H14+F30+F36</f>
        <v>6848.7548987411055</v>
      </c>
      <c r="G43" s="186">
        <f>E43-F43</f>
        <v>71509.333101258904</v>
      </c>
      <c r="H43" s="67"/>
      <c r="I43" s="1">
        <f t="shared" si="1"/>
        <v>1000</v>
      </c>
      <c r="J43" s="27" t="e">
        <f>B34/E34</f>
        <v>#DIV/0!</v>
      </c>
    </row>
    <row r="44" spans="1:13" ht="9.9499999999999993" customHeight="1" x14ac:dyDescent="0.25">
      <c r="A44" s="691" t="s">
        <v>27</v>
      </c>
      <c r="B44" s="691"/>
      <c r="C44" s="46"/>
      <c r="D44" s="176"/>
      <c r="E44" s="52">
        <f>E43*6-0.03</f>
        <v>470148.49800000002</v>
      </c>
      <c r="F44" s="52">
        <f>F43*6</f>
        <v>41092.529392446631</v>
      </c>
      <c r="G44" s="52">
        <f>E44-F44</f>
        <v>429055.9686075534</v>
      </c>
      <c r="H44" s="67"/>
      <c r="I44" s="1">
        <f t="shared" si="1"/>
        <v>-45675</v>
      </c>
    </row>
    <row r="45" spans="1:13" x14ac:dyDescent="0.25">
      <c r="E45" s="73"/>
      <c r="G45" s="73"/>
      <c r="H45" s="73"/>
    </row>
    <row r="46" spans="1:13" x14ac:dyDescent="0.25">
      <c r="E46" s="26"/>
    </row>
    <row r="47" spans="1:13" x14ac:dyDescent="0.25">
      <c r="E47" s="26"/>
      <c r="G47" s="26">
        <v>10880.85</v>
      </c>
    </row>
    <row r="48" spans="1:13" x14ac:dyDescent="0.25">
      <c r="E48" s="26"/>
      <c r="G48" s="26">
        <v>21776.77</v>
      </c>
    </row>
    <row r="49" spans="5:7" x14ac:dyDescent="0.25">
      <c r="E49" s="26"/>
      <c r="G49" s="26">
        <v>45140.71</v>
      </c>
    </row>
    <row r="50" spans="5:7" x14ac:dyDescent="0.25">
      <c r="E50" s="26"/>
      <c r="G50" s="26">
        <v>25176.81</v>
      </c>
    </row>
    <row r="51" spans="5:7" x14ac:dyDescent="0.25">
      <c r="G51" s="26">
        <f>SUM(G47:G50)</f>
        <v>102975.14</v>
      </c>
    </row>
  </sheetData>
  <mergeCells count="18">
    <mergeCell ref="A2:B2"/>
    <mergeCell ref="A4:B4"/>
    <mergeCell ref="A5:B5"/>
    <mergeCell ref="A6:B6"/>
    <mergeCell ref="A1:H1"/>
    <mergeCell ref="A7:B7"/>
    <mergeCell ref="A11:B11"/>
    <mergeCell ref="A12:B12"/>
    <mergeCell ref="A14:B14"/>
    <mergeCell ref="A20:B20"/>
    <mergeCell ref="A42:B42"/>
    <mergeCell ref="A43:B43"/>
    <mergeCell ref="A44:B44"/>
    <mergeCell ref="A22:B22"/>
    <mergeCell ref="A23:B23"/>
    <mergeCell ref="A39:B39"/>
    <mergeCell ref="A40:B40"/>
    <mergeCell ref="A41:B4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theme="4" tint="0.59999389629810485"/>
  </sheetPr>
  <dimension ref="A1:P52"/>
  <sheetViews>
    <sheetView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4" width="9.5703125" style="312" bestFit="1" customWidth="1"/>
    <col min="15" max="15" width="11" style="312" bestFit="1" customWidth="1"/>
    <col min="16" max="16" width="9.140625" style="312"/>
    <col min="17" max="16384" width="9.140625" style="190"/>
  </cols>
  <sheetData>
    <row r="1" spans="1:16" ht="16.5" thickBot="1" x14ac:dyDescent="0.3">
      <c r="A1" s="805" t="s">
        <v>204</v>
      </c>
      <c r="B1" s="805"/>
      <c r="C1" s="805"/>
      <c r="D1" s="805"/>
      <c r="E1" s="805"/>
      <c r="F1" s="805"/>
      <c r="G1" s="390"/>
      <c r="H1" s="390"/>
    </row>
    <row r="2" spans="1:16" s="196" customFormat="1" ht="51" customHeight="1" x14ac:dyDescent="0.25">
      <c r="A2" s="806" t="s">
        <v>196</v>
      </c>
      <c r="B2" s="807"/>
      <c r="C2" s="568" t="s">
        <v>29</v>
      </c>
      <c r="D2" s="569" t="s">
        <v>153</v>
      </c>
      <c r="E2" s="569" t="s">
        <v>30</v>
      </c>
      <c r="F2" s="568" t="s">
        <v>31</v>
      </c>
      <c r="G2" s="568" t="s">
        <v>176</v>
      </c>
      <c r="H2" s="556" t="s">
        <v>197</v>
      </c>
      <c r="I2" s="392" t="s">
        <v>199</v>
      </c>
      <c r="J2" s="568" t="s">
        <v>242</v>
      </c>
      <c r="K2" s="392" t="s">
        <v>194</v>
      </c>
      <c r="L2" s="601" t="s">
        <v>203</v>
      </c>
      <c r="M2" s="400"/>
      <c r="N2" s="321"/>
      <c r="O2" s="321"/>
      <c r="P2" s="321"/>
    </row>
    <row r="3" spans="1:16" s="196" customFormat="1" ht="14.1" hidden="1" customHeight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583"/>
      <c r="L3" s="400"/>
      <c r="M3" s="400"/>
      <c r="N3" s="321"/>
      <c r="O3" s="321"/>
      <c r="P3" s="321"/>
    </row>
    <row r="4" spans="1:16" s="196" customFormat="1" ht="14.1" hidden="1" customHeight="1" x14ac:dyDescent="0.25">
      <c r="A4" s="780" t="s">
        <v>34</v>
      </c>
      <c r="B4" s="781"/>
      <c r="C4" s="198"/>
      <c r="D4" s="170"/>
      <c r="E4" s="170"/>
      <c r="F4" s="199"/>
      <c r="G4" s="170"/>
      <c r="H4" s="170"/>
      <c r="I4" s="194"/>
      <c r="J4" s="400"/>
      <c r="K4" s="583"/>
      <c r="L4" s="400"/>
      <c r="M4" s="400"/>
      <c r="N4" s="321"/>
      <c r="O4" s="321"/>
      <c r="P4" s="321"/>
    </row>
    <row r="5" spans="1:16" s="196" customFormat="1" ht="14.1" hidden="1" customHeight="1" x14ac:dyDescent="0.25">
      <c r="A5" s="780" t="s">
        <v>35</v>
      </c>
      <c r="B5" s="781"/>
      <c r="C5" s="198"/>
      <c r="D5" s="170"/>
      <c r="E5" s="170"/>
      <c r="F5" s="199"/>
      <c r="G5" s="170"/>
      <c r="H5" s="170"/>
      <c r="I5" s="194"/>
      <c r="J5" s="400"/>
      <c r="K5" s="583"/>
      <c r="L5" s="400"/>
      <c r="M5" s="400"/>
      <c r="N5" s="321"/>
      <c r="O5" s="321"/>
      <c r="P5" s="321"/>
    </row>
    <row r="6" spans="1:16" s="196" customFormat="1" ht="14.1" hidden="1" customHeight="1" x14ac:dyDescent="0.25">
      <c r="A6" s="780" t="s">
        <v>36</v>
      </c>
      <c r="B6" s="781"/>
      <c r="C6" s="198"/>
      <c r="D6" s="170"/>
      <c r="E6" s="170"/>
      <c r="F6" s="199"/>
      <c r="G6" s="170"/>
      <c r="H6" s="170"/>
      <c r="I6" s="194"/>
      <c r="J6" s="400"/>
      <c r="K6" s="583"/>
      <c r="L6" s="400"/>
      <c r="M6" s="400"/>
      <c r="N6" s="321"/>
      <c r="O6" s="321"/>
      <c r="P6" s="321"/>
    </row>
    <row r="7" spans="1:16" s="196" customFormat="1" ht="14.1" hidden="1" customHeight="1" x14ac:dyDescent="0.25">
      <c r="A7" s="790" t="s">
        <v>37</v>
      </c>
      <c r="B7" s="791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583"/>
      <c r="L7" s="400"/>
      <c r="M7" s="400"/>
      <c r="N7" s="321"/>
      <c r="O7" s="321"/>
      <c r="P7" s="321"/>
    </row>
    <row r="8" spans="1:16" s="196" customFormat="1" ht="11.1" hidden="1" customHeight="1" x14ac:dyDescent="0.25">
      <c r="A8" s="571"/>
      <c r="B8" s="559"/>
      <c r="C8" s="396"/>
      <c r="D8" s="170"/>
      <c r="E8" s="170"/>
      <c r="F8" s="199"/>
      <c r="G8" s="170"/>
      <c r="H8" s="170"/>
      <c r="I8" s="194"/>
      <c r="J8" s="400"/>
      <c r="K8" s="583"/>
      <c r="L8" s="400"/>
      <c r="M8" s="400"/>
      <c r="N8" s="321"/>
      <c r="O8" s="321"/>
      <c r="P8" s="321"/>
    </row>
    <row r="9" spans="1:16" s="321" customFormat="1" ht="8.1" customHeight="1" x14ac:dyDescent="0.2">
      <c r="A9" s="603" t="s">
        <v>179</v>
      </c>
      <c r="B9" s="240"/>
      <c r="C9" s="198">
        <v>258</v>
      </c>
      <c r="D9" s="199"/>
      <c r="E9" s="199">
        <v>115.05</v>
      </c>
      <c r="F9" s="199">
        <f>C9*E9</f>
        <v>29682.899999999998</v>
      </c>
      <c r="G9" s="170">
        <f>F9/F14</f>
        <v>0.32249999999999995</v>
      </c>
      <c r="H9" s="204">
        <f>G9*$H$35</f>
        <v>12671.212142354678</v>
      </c>
      <c r="I9" s="560">
        <f>F9+H9</f>
        <v>42354.112142354672</v>
      </c>
      <c r="J9" s="600">
        <f>I9/C9</f>
        <v>164.16322535796385</v>
      </c>
      <c r="K9" s="604">
        <v>164.17</v>
      </c>
      <c r="L9" s="602">
        <f>K9*C9+0.83</f>
        <v>42356.689999999995</v>
      </c>
      <c r="M9" s="303"/>
      <c r="N9" s="561">
        <f>L9-I9</f>
        <v>2.5778576453230926</v>
      </c>
      <c r="O9" s="561">
        <f>J9*C9</f>
        <v>42354.112142354672</v>
      </c>
      <c r="P9" s="561"/>
    </row>
    <row r="10" spans="1:16" s="321" customFormat="1" ht="8.1" customHeight="1" x14ac:dyDescent="0.2">
      <c r="A10" s="603" t="s">
        <v>224</v>
      </c>
      <c r="B10" s="240"/>
      <c r="C10" s="198">
        <v>542</v>
      </c>
      <c r="D10" s="199"/>
      <c r="E10" s="199">
        <v>115.05</v>
      </c>
      <c r="F10" s="199">
        <f t="shared" ref="F10:F12" si="0">C10*E10</f>
        <v>62357.1</v>
      </c>
      <c r="G10" s="170">
        <f>F10/F14</f>
        <v>0.67749999999999999</v>
      </c>
      <c r="H10" s="204">
        <f>G10*$H$35</f>
        <v>26619.368144016418</v>
      </c>
      <c r="I10" s="560">
        <f>F10+H10</f>
        <v>88976.468144016413</v>
      </c>
      <c r="J10" s="560">
        <f>I10/C10</f>
        <v>164.16322535796385</v>
      </c>
      <c r="K10" s="605">
        <v>164.16</v>
      </c>
      <c r="L10" s="602">
        <f>K10*C10+1.74</f>
        <v>88976.46</v>
      </c>
      <c r="M10" s="303"/>
      <c r="N10" s="561">
        <f t="shared" ref="N10:N14" si="1">L10-I10</f>
        <v>-8.14401640673168E-3</v>
      </c>
      <c r="O10" s="561">
        <f>J10*C10</f>
        <v>88976.468144016413</v>
      </c>
      <c r="P10" s="561"/>
    </row>
    <row r="11" spans="1:16" s="321" customFormat="1" ht="9.9499999999999993" hidden="1" customHeight="1" x14ac:dyDescent="0.2">
      <c r="A11" s="780"/>
      <c r="B11" s="781"/>
      <c r="C11" s="198"/>
      <c r="D11" s="199"/>
      <c r="E11" s="199"/>
      <c r="F11" s="199">
        <f t="shared" si="0"/>
        <v>0</v>
      </c>
      <c r="G11" s="170"/>
      <c r="H11" s="204">
        <f t="shared" ref="H11:H12" si="2">F11*G11</f>
        <v>0</v>
      </c>
      <c r="I11" s="560"/>
      <c r="J11" s="560"/>
      <c r="K11" s="605"/>
      <c r="L11" s="602"/>
      <c r="M11" s="303"/>
      <c r="N11" s="561">
        <f t="shared" si="1"/>
        <v>0</v>
      </c>
      <c r="O11" s="561"/>
      <c r="P11" s="561"/>
    </row>
    <row r="12" spans="1:16" s="321" customFormat="1" ht="9.9499999999999993" hidden="1" customHeight="1" x14ac:dyDescent="0.2">
      <c r="A12" s="780"/>
      <c r="B12" s="781"/>
      <c r="C12" s="198"/>
      <c r="D12" s="199"/>
      <c r="E12" s="199"/>
      <c r="F12" s="199">
        <f t="shared" si="0"/>
        <v>0</v>
      </c>
      <c r="G12" s="170"/>
      <c r="H12" s="204">
        <f t="shared" si="2"/>
        <v>0</v>
      </c>
      <c r="I12" s="560"/>
      <c r="J12" s="560"/>
      <c r="K12" s="605"/>
      <c r="L12" s="602"/>
      <c r="M12" s="303"/>
      <c r="N12" s="561">
        <f t="shared" si="1"/>
        <v>0</v>
      </c>
      <c r="O12" s="561"/>
      <c r="P12" s="561"/>
    </row>
    <row r="13" spans="1:16" s="321" customFormat="1" ht="9.9499999999999993" hidden="1" customHeight="1" x14ac:dyDescent="0.2">
      <c r="A13" s="322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605"/>
      <c r="L13" s="602"/>
      <c r="M13" s="303"/>
      <c r="N13" s="561">
        <f t="shared" si="1"/>
        <v>0</v>
      </c>
      <c r="O13" s="561"/>
      <c r="P13" s="561"/>
    </row>
    <row r="14" spans="1:16" s="321" customFormat="1" ht="8.1" customHeight="1" x14ac:dyDescent="0.2">
      <c r="A14" s="786" t="s">
        <v>8</v>
      </c>
      <c r="B14" s="787"/>
      <c r="C14" s="170"/>
      <c r="D14" s="199">
        <f>SUM(D9:D13)</f>
        <v>0</v>
      </c>
      <c r="E14" s="199"/>
      <c r="F14" s="199">
        <f>SUM(F9:F12)</f>
        <v>92040</v>
      </c>
      <c r="G14" s="562">
        <f>SUM(G9:G12)</f>
        <v>1</v>
      </c>
      <c r="H14" s="204">
        <f>SUM(H9:H12)</f>
        <v>39290.5802863711</v>
      </c>
      <c r="I14" s="563">
        <f>SUM(I9:I12)+0.01</f>
        <v>131330.59028637109</v>
      </c>
      <c r="J14" s="560"/>
      <c r="K14" s="605"/>
      <c r="L14" s="602">
        <f>SUM(L9:L13)+0.01</f>
        <v>131333.16</v>
      </c>
      <c r="M14" s="303">
        <f>I14-L14</f>
        <v>-2.5697136289090849</v>
      </c>
      <c r="N14" s="561">
        <f t="shared" si="1"/>
        <v>2.5697136289090849</v>
      </c>
      <c r="O14" s="561">
        <f>SUM(O9:O13)</f>
        <v>131330.58028637109</v>
      </c>
      <c r="P14" s="561"/>
    </row>
    <row r="15" spans="1:16" s="321" customFormat="1" ht="14.1" hidden="1" customHeight="1" x14ac:dyDescent="0.2">
      <c r="A15" s="322"/>
      <c r="B15" s="205"/>
      <c r="C15" s="198"/>
      <c r="D15" s="198"/>
      <c r="E15" s="199"/>
      <c r="F15" s="199"/>
      <c r="G15" s="170"/>
      <c r="H15" s="207"/>
      <c r="I15" s="303"/>
      <c r="J15" s="303"/>
      <c r="K15" s="606"/>
      <c r="L15" s="303"/>
      <c r="M15" s="303"/>
      <c r="N15" s="561"/>
      <c r="O15" s="561"/>
      <c r="P15" s="561"/>
    </row>
    <row r="16" spans="1:16" s="321" customFormat="1" ht="14.1" hidden="1" customHeight="1" x14ac:dyDescent="0.2">
      <c r="A16" s="322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606"/>
      <c r="L16" s="303"/>
      <c r="M16" s="303"/>
      <c r="N16" s="561"/>
      <c r="O16" s="561"/>
      <c r="P16" s="561"/>
    </row>
    <row r="17" spans="1:16" s="321" customFormat="1" ht="14.1" hidden="1" customHeight="1" x14ac:dyDescent="0.2">
      <c r="A17" s="322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606"/>
      <c r="L17" s="303"/>
      <c r="M17" s="303"/>
      <c r="N17" s="561"/>
      <c r="O17" s="561"/>
      <c r="P17" s="561"/>
    </row>
    <row r="18" spans="1:16" s="321" customFormat="1" ht="14.1" hidden="1" customHeight="1" x14ac:dyDescent="0.2">
      <c r="A18" s="322"/>
      <c r="B18" s="205"/>
      <c r="C18" s="198"/>
      <c r="D18" s="198"/>
      <c r="E18" s="170"/>
      <c r="F18" s="199"/>
      <c r="G18" s="170"/>
      <c r="H18" s="207"/>
      <c r="I18" s="303"/>
      <c r="J18" s="303"/>
      <c r="K18" s="606"/>
      <c r="L18" s="303"/>
      <c r="M18" s="303"/>
      <c r="N18" s="561"/>
      <c r="O18" s="561"/>
      <c r="P18" s="561"/>
    </row>
    <row r="19" spans="1:16" s="321" customFormat="1" ht="14.1" hidden="1" customHeight="1" x14ac:dyDescent="0.2">
      <c r="A19" s="322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606"/>
      <c r="L19" s="303"/>
      <c r="M19" s="303"/>
      <c r="N19" s="561"/>
      <c r="O19" s="561"/>
      <c r="P19" s="561"/>
    </row>
    <row r="20" spans="1:16" s="321" customFormat="1" ht="14.1" hidden="1" customHeight="1" x14ac:dyDescent="0.2">
      <c r="A20" s="780" t="s">
        <v>52</v>
      </c>
      <c r="B20" s="781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606"/>
      <c r="L20" s="303"/>
      <c r="M20" s="303"/>
      <c r="N20" s="561"/>
      <c r="O20" s="561"/>
      <c r="P20" s="561"/>
    </row>
    <row r="21" spans="1:16" s="321" customFormat="1" ht="14.1" hidden="1" customHeight="1" x14ac:dyDescent="0.2">
      <c r="A21" s="322"/>
      <c r="B21" s="205"/>
      <c r="C21" s="198"/>
      <c r="D21" s="198"/>
      <c r="E21" s="170"/>
      <c r="F21" s="199"/>
      <c r="G21" s="170"/>
      <c r="H21" s="207"/>
      <c r="I21" s="303"/>
      <c r="J21" s="303"/>
      <c r="K21" s="606"/>
      <c r="L21" s="303"/>
      <c r="M21" s="303"/>
      <c r="N21" s="561"/>
      <c r="O21" s="561"/>
      <c r="P21" s="561"/>
    </row>
    <row r="22" spans="1:16" s="312" customFormat="1" ht="14.1" hidden="1" customHeight="1" x14ac:dyDescent="0.2">
      <c r="A22" s="786"/>
      <c r="B22" s="787"/>
      <c r="C22" s="209"/>
      <c r="D22" s="209"/>
      <c r="E22" s="210"/>
      <c r="F22" s="171"/>
      <c r="G22" s="170"/>
      <c r="H22" s="170"/>
      <c r="I22" s="170"/>
      <c r="J22" s="304"/>
      <c r="K22" s="607"/>
      <c r="L22" s="304"/>
      <c r="M22" s="304"/>
      <c r="N22" s="561"/>
      <c r="O22" s="561"/>
      <c r="P22" s="561"/>
    </row>
    <row r="23" spans="1:16" s="312" customFormat="1" ht="8.1" customHeight="1" x14ac:dyDescent="0.2">
      <c r="A23" s="786" t="s">
        <v>8</v>
      </c>
      <c r="B23" s="787"/>
      <c r="C23" s="209"/>
      <c r="D23" s="209"/>
      <c r="E23" s="210"/>
      <c r="F23" s="171"/>
      <c r="G23" s="304"/>
      <c r="H23" s="304">
        <f>H14-H35</f>
        <v>0</v>
      </c>
      <c r="I23" s="304"/>
      <c r="J23" s="304"/>
      <c r="K23" s="607"/>
      <c r="L23" s="304"/>
      <c r="M23" s="304"/>
      <c r="N23" s="561"/>
      <c r="O23" s="561"/>
      <c r="P23" s="561"/>
    </row>
    <row r="24" spans="1:16" s="312" customFormat="1" ht="14.1" hidden="1" customHeight="1" x14ac:dyDescent="0.2">
      <c r="A24" s="526"/>
      <c r="B24" s="212"/>
      <c r="C24" s="213"/>
      <c r="D24" s="213"/>
      <c r="E24" s="214"/>
      <c r="F24" s="215"/>
      <c r="G24" s="215"/>
      <c r="H24" s="215"/>
      <c r="I24" s="304"/>
      <c r="J24" s="304"/>
      <c r="K24" s="607"/>
      <c r="L24" s="304"/>
      <c r="M24" s="304"/>
    </row>
    <row r="25" spans="1:16" s="312" customFormat="1" ht="8.1" customHeight="1" x14ac:dyDescent="0.2">
      <c r="A25" s="528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607"/>
      <c r="L25" s="304"/>
      <c r="M25" s="304"/>
    </row>
    <row r="26" spans="1:16" s="312" customFormat="1" ht="8.1" customHeight="1" x14ac:dyDescent="0.2">
      <c r="A26" s="528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607"/>
      <c r="L26" s="304"/>
      <c r="M26" s="304"/>
    </row>
    <row r="27" spans="1:16" s="312" customFormat="1" ht="8.1" customHeight="1" x14ac:dyDescent="0.2">
      <c r="A27" s="528" t="s">
        <v>54</v>
      </c>
      <c r="B27" s="409">
        <v>7.9963900000000004E-2</v>
      </c>
      <c r="C27" s="223"/>
      <c r="D27" s="223"/>
      <c r="E27" s="171">
        <f>F27</f>
        <v>7359.877356</v>
      </c>
      <c r="F27" s="171">
        <f>B27*F14</f>
        <v>7359.877356</v>
      </c>
      <c r="G27" s="215"/>
      <c r="H27" s="225"/>
      <c r="I27" s="362"/>
      <c r="J27" s="362"/>
      <c r="K27" s="608"/>
      <c r="L27" s="304"/>
      <c r="M27" s="304"/>
    </row>
    <row r="28" spans="1:16" s="312" customFormat="1" ht="8.1" customHeight="1" x14ac:dyDescent="0.2">
      <c r="A28" s="528" t="s">
        <v>15</v>
      </c>
      <c r="B28" s="227">
        <v>0</v>
      </c>
      <c r="C28" s="495"/>
      <c r="D28" s="495"/>
      <c r="E28" s="171">
        <f>F28</f>
        <v>9664.2000000000007</v>
      </c>
      <c r="F28" s="171">
        <v>9664.2000000000007</v>
      </c>
      <c r="G28" s="215"/>
      <c r="H28" s="565"/>
      <c r="I28" s="362"/>
      <c r="J28" s="362"/>
      <c r="K28" s="608"/>
      <c r="L28" s="304"/>
      <c r="M28" s="304"/>
    </row>
    <row r="29" spans="1:16" s="312" customFormat="1" ht="8.1" customHeight="1" x14ac:dyDescent="0.2">
      <c r="A29" s="528" t="s">
        <v>55</v>
      </c>
      <c r="B29" s="227">
        <v>0.1</v>
      </c>
      <c r="C29" s="223"/>
      <c r="D29" s="223"/>
      <c r="E29" s="171">
        <f>F29</f>
        <v>10906.4077356</v>
      </c>
      <c r="F29" s="171">
        <f>(F14+F27+F28)*B29</f>
        <v>10906.4077356</v>
      </c>
      <c r="G29" s="609"/>
      <c r="H29" s="228"/>
      <c r="I29" s="362"/>
      <c r="J29" s="362"/>
      <c r="K29" s="608"/>
      <c r="L29" s="362">
        <f>F29-E29</f>
        <v>0</v>
      </c>
      <c r="M29" s="304"/>
    </row>
    <row r="30" spans="1:16" s="312" customFormat="1" ht="8.1" customHeight="1" x14ac:dyDescent="0.2">
      <c r="A30" s="528" t="s">
        <v>17</v>
      </c>
      <c r="B30" s="495"/>
      <c r="C30" s="495"/>
      <c r="D30" s="495"/>
      <c r="E30" s="171">
        <f>SUM(E27:E29)</f>
        <v>27930.4850916</v>
      </c>
      <c r="F30" s="171">
        <f>SUM(F27:F29)</f>
        <v>27930.4850916</v>
      </c>
      <c r="G30" s="609"/>
      <c r="H30" s="215"/>
      <c r="I30" s="362"/>
      <c r="J30" s="304"/>
      <c r="K30" s="607"/>
      <c r="L30" s="215">
        <f>F30-E30</f>
        <v>0</v>
      </c>
      <c r="M30" s="304"/>
    </row>
    <row r="31" spans="1:16" s="312" customFormat="1" ht="8.1" customHeight="1" x14ac:dyDescent="0.2">
      <c r="A31" s="528"/>
      <c r="B31" s="495"/>
      <c r="C31" s="495"/>
      <c r="D31" s="495"/>
      <c r="E31" s="171"/>
      <c r="F31" s="171"/>
      <c r="G31" s="609"/>
      <c r="H31" s="215"/>
      <c r="I31" s="362"/>
      <c r="J31" s="304"/>
      <c r="K31" s="607"/>
      <c r="L31" s="215"/>
      <c r="M31" s="304"/>
    </row>
    <row r="32" spans="1:16" s="312" customFormat="1" ht="8.1" customHeight="1" x14ac:dyDescent="0.2">
      <c r="A32" s="528" t="s">
        <v>18</v>
      </c>
      <c r="B32" s="495"/>
      <c r="C32" s="495"/>
      <c r="D32" s="495"/>
      <c r="E32" s="173" t="s">
        <v>13</v>
      </c>
      <c r="F32" s="171"/>
      <c r="G32" s="609"/>
      <c r="H32" s="215"/>
      <c r="I32" s="362"/>
      <c r="J32" s="304"/>
      <c r="K32" s="607"/>
      <c r="L32" s="215"/>
      <c r="M32" s="304"/>
    </row>
    <row r="33" spans="1:13" s="312" customFormat="1" ht="8.1" customHeight="1" x14ac:dyDescent="0.2">
      <c r="A33" s="528" t="s">
        <v>19</v>
      </c>
      <c r="B33" s="227">
        <v>6.4999999999999997E-3</v>
      </c>
      <c r="C33" s="227"/>
      <c r="D33" s="227"/>
      <c r="E33" s="171">
        <v>853.67</v>
      </c>
      <c r="F33" s="171">
        <f>B33*E42</f>
        <v>853.64877186141223</v>
      </c>
      <c r="G33" s="609"/>
      <c r="H33" s="215"/>
      <c r="I33" s="362"/>
      <c r="J33" s="304"/>
      <c r="K33" s="607"/>
      <c r="L33" s="215"/>
      <c r="M33" s="304"/>
    </row>
    <row r="34" spans="1:13" s="312" customFormat="1" ht="8.1" customHeight="1" x14ac:dyDescent="0.2">
      <c r="A34" s="528" t="s">
        <v>20</v>
      </c>
      <c r="B34" s="227">
        <v>0.03</v>
      </c>
      <c r="C34" s="229"/>
      <c r="D34" s="229"/>
      <c r="E34" s="171">
        <v>3940</v>
      </c>
      <c r="F34" s="171">
        <f>B34*E42</f>
        <v>3939.9174085911332</v>
      </c>
      <c r="G34" s="609"/>
      <c r="H34" s="350" t="s">
        <v>202</v>
      </c>
      <c r="I34" s="362"/>
      <c r="J34" s="304"/>
      <c r="K34" s="607"/>
      <c r="L34" s="215"/>
      <c r="M34" s="304"/>
    </row>
    <row r="35" spans="1:13" s="312" customFormat="1" ht="8.1" customHeight="1" x14ac:dyDescent="0.2">
      <c r="A35" s="528" t="s">
        <v>21</v>
      </c>
      <c r="B35" s="227">
        <v>0.05</v>
      </c>
      <c r="C35" s="229"/>
      <c r="D35" s="229"/>
      <c r="E35" s="171">
        <v>6566.67</v>
      </c>
      <c r="F35" s="171">
        <f>B35*E42</f>
        <v>6566.5290143185557</v>
      </c>
      <c r="G35" s="609"/>
      <c r="H35" s="544">
        <f>F30+F36</f>
        <v>39290.5802863711</v>
      </c>
      <c r="I35" s="362"/>
      <c r="J35" s="386" t="s">
        <v>25</v>
      </c>
      <c r="K35" s="607"/>
      <c r="L35" s="215"/>
      <c r="M35" s="304"/>
    </row>
    <row r="36" spans="1:13" s="312" customFormat="1" ht="8.1" customHeight="1" x14ac:dyDescent="0.2">
      <c r="A36" s="528" t="s">
        <v>17</v>
      </c>
      <c r="B36" s="227">
        <f>SUM(B33:B35)</f>
        <v>8.6499999999999994E-2</v>
      </c>
      <c r="C36" s="227"/>
      <c r="D36" s="227"/>
      <c r="E36" s="407">
        <f>SUM(E33:E35)</f>
        <v>11360.34</v>
      </c>
      <c r="F36" s="407">
        <f>SUM(F33:F35)</f>
        <v>11360.0951947711</v>
      </c>
      <c r="G36" s="609"/>
      <c r="H36" s="215"/>
      <c r="I36" s="362"/>
      <c r="J36" s="387">
        <f>E36-F36</f>
        <v>0.24480522890007705</v>
      </c>
      <c r="K36" s="607"/>
      <c r="L36" s="215"/>
      <c r="M36" s="304"/>
    </row>
    <row r="37" spans="1:13" s="312" customFormat="1" ht="9.9499999999999993" hidden="1" customHeight="1" x14ac:dyDescent="0.2">
      <c r="A37" s="528" t="s">
        <v>155</v>
      </c>
      <c r="B37" s="227">
        <v>0</v>
      </c>
      <c r="C37" s="227"/>
      <c r="D37" s="227"/>
      <c r="E37" s="171">
        <v>0</v>
      </c>
      <c r="F37" s="171"/>
      <c r="G37" s="609"/>
      <c r="H37" s="215"/>
      <c r="I37" s="304"/>
      <c r="J37" s="388"/>
      <c r="K37" s="607"/>
      <c r="L37" s="304"/>
      <c r="M37" s="304"/>
    </row>
    <row r="38" spans="1:13" s="312" customFormat="1" ht="9.75" hidden="1" customHeight="1" x14ac:dyDescent="0.2">
      <c r="A38" s="528" t="s">
        <v>156</v>
      </c>
      <c r="B38" s="227">
        <v>0</v>
      </c>
      <c r="C38" s="227"/>
      <c r="D38" s="227"/>
      <c r="E38" s="171">
        <v>0</v>
      </c>
      <c r="F38" s="171"/>
      <c r="G38" s="609"/>
      <c r="H38" s="215"/>
      <c r="I38" s="304"/>
      <c r="J38" s="388"/>
      <c r="K38" s="607"/>
      <c r="L38" s="304"/>
      <c r="M38" s="304"/>
    </row>
    <row r="39" spans="1:13" s="312" customFormat="1" ht="9.9499999999999993" hidden="1" customHeight="1" x14ac:dyDescent="0.2">
      <c r="A39" s="803" t="s">
        <v>58</v>
      </c>
      <c r="B39" s="802"/>
      <c r="C39" s="213"/>
      <c r="D39" s="213"/>
      <c r="E39" s="215">
        <f>F14+E30</f>
        <v>119970.4850916</v>
      </c>
      <c r="F39" s="215"/>
      <c r="G39" s="609"/>
      <c r="H39" s="215"/>
      <c r="I39" s="304"/>
      <c r="J39" s="388"/>
      <c r="K39" s="607"/>
      <c r="L39" s="304"/>
      <c r="M39" s="304"/>
    </row>
    <row r="40" spans="1:13" s="312" customFormat="1" ht="9.9499999999999993" hidden="1" customHeight="1" x14ac:dyDescent="0.2">
      <c r="A40" s="804" t="s">
        <v>59</v>
      </c>
      <c r="B40" s="796"/>
      <c r="C40" s="495"/>
      <c r="D40" s="495"/>
      <c r="E40" s="171">
        <f>F14+F30</f>
        <v>119970.4850916</v>
      </c>
      <c r="F40" s="215"/>
      <c r="G40" s="609"/>
      <c r="H40" s="215"/>
      <c r="I40" s="304"/>
      <c r="J40" s="388"/>
      <c r="K40" s="607"/>
      <c r="L40" s="304"/>
      <c r="M40" s="304"/>
    </row>
    <row r="41" spans="1:13" s="312" customFormat="1" ht="9.9499999999999993" hidden="1" customHeight="1" x14ac:dyDescent="0.2">
      <c r="A41" s="587"/>
      <c r="B41" s="496"/>
      <c r="C41" s="495"/>
      <c r="D41" s="495"/>
      <c r="E41" s="171">
        <f>E39/(1-B36)</f>
        <v>131330.58028637111</v>
      </c>
      <c r="F41" s="215"/>
      <c r="G41" s="609"/>
      <c r="H41" s="215"/>
      <c r="I41" s="304"/>
      <c r="J41" s="388"/>
      <c r="K41" s="607"/>
      <c r="L41" s="304"/>
      <c r="M41" s="304"/>
    </row>
    <row r="42" spans="1:13" s="312" customFormat="1" ht="9.9499999999999993" hidden="1" customHeight="1" x14ac:dyDescent="0.2">
      <c r="A42" s="804" t="s">
        <v>60</v>
      </c>
      <c r="B42" s="796"/>
      <c r="C42" s="495"/>
      <c r="D42" s="495"/>
      <c r="E42" s="171">
        <f>E40/(1-B36)</f>
        <v>131330.58028637111</v>
      </c>
      <c r="F42" s="215"/>
      <c r="G42" s="609"/>
      <c r="H42" s="215"/>
      <c r="I42" s="304"/>
      <c r="J42" s="388"/>
      <c r="K42" s="607"/>
      <c r="L42" s="304"/>
      <c r="M42" s="304"/>
    </row>
    <row r="43" spans="1:13" s="406" customFormat="1" ht="8.1" customHeight="1" x14ac:dyDescent="0.2">
      <c r="A43" s="775" t="s">
        <v>24</v>
      </c>
      <c r="B43" s="776"/>
      <c r="C43" s="495"/>
      <c r="D43" s="495"/>
      <c r="E43" s="173" t="s">
        <v>10</v>
      </c>
      <c r="F43" s="350" t="s">
        <v>144</v>
      </c>
      <c r="G43" s="610"/>
      <c r="H43" s="364"/>
      <c r="I43" s="304"/>
      <c r="J43" s="386" t="s">
        <v>25</v>
      </c>
      <c r="K43" s="611"/>
      <c r="L43" s="566"/>
      <c r="M43" s="566"/>
    </row>
    <row r="44" spans="1:13" s="312" customFormat="1" ht="8.1" customHeight="1" x14ac:dyDescent="0.2">
      <c r="A44" s="775" t="s">
        <v>26</v>
      </c>
      <c r="B44" s="776"/>
      <c r="C44" s="495"/>
      <c r="D44" s="495"/>
      <c r="E44" s="407">
        <f>F14+E30+E36</f>
        <v>131330.82509160001</v>
      </c>
      <c r="F44" s="407">
        <f>F14+F30+F36</f>
        <v>131330.58028637111</v>
      </c>
      <c r="G44" s="609"/>
      <c r="H44" s="215"/>
      <c r="I44" s="304"/>
      <c r="J44" s="389">
        <f>F44-E44</f>
        <v>-0.24480522889643908</v>
      </c>
      <c r="K44" s="607"/>
      <c r="L44" s="304"/>
      <c r="M44" s="304"/>
    </row>
    <row r="45" spans="1:13" s="312" customFormat="1" ht="8.1" customHeight="1" thickBot="1" x14ac:dyDescent="0.25">
      <c r="A45" s="777" t="s">
        <v>27</v>
      </c>
      <c r="B45" s="778"/>
      <c r="C45" s="547"/>
      <c r="D45" s="547"/>
      <c r="E45" s="548">
        <f>E44*12</f>
        <v>1575969.9010992001</v>
      </c>
      <c r="F45" s="548">
        <f>F44*12</f>
        <v>1575966.9634364534</v>
      </c>
      <c r="G45" s="612"/>
      <c r="H45" s="550"/>
      <c r="I45" s="613"/>
      <c r="J45" s="614">
        <f>F45-E45</f>
        <v>-2.9376627467572689</v>
      </c>
      <c r="K45" s="615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/>
    </row>
    <row r="48" spans="1:13" x14ac:dyDescent="0.25">
      <c r="E48" s="224"/>
    </row>
    <row r="49" spans="5:16" s="190" customFormat="1" x14ac:dyDescent="0.25">
      <c r="E49" s="224"/>
      <c r="F49" s="224"/>
      <c r="G49" s="224"/>
      <c r="N49" s="312"/>
      <c r="O49" s="312"/>
      <c r="P49" s="312"/>
    </row>
    <row r="50" spans="5:16" s="190" customFormat="1" x14ac:dyDescent="0.25">
      <c r="E50" s="224"/>
      <c r="F50" s="224"/>
      <c r="G50" s="224"/>
      <c r="N50" s="312"/>
      <c r="O50" s="312"/>
      <c r="P50" s="312"/>
    </row>
    <row r="51" spans="5:16" s="190" customFormat="1" x14ac:dyDescent="0.25">
      <c r="E51" s="224"/>
      <c r="F51" s="224"/>
      <c r="G51" s="224"/>
      <c r="N51" s="312"/>
      <c r="O51" s="312"/>
      <c r="P51" s="312"/>
    </row>
    <row r="52" spans="5:16" s="190" customFormat="1" x14ac:dyDescent="0.25">
      <c r="E52" s="238"/>
      <c r="F52" s="224"/>
      <c r="G52" s="224"/>
      <c r="N52" s="312"/>
      <c r="O52" s="312"/>
      <c r="P52" s="312"/>
    </row>
  </sheetData>
  <mergeCells count="18">
    <mergeCell ref="A7:B7"/>
    <mergeCell ref="A1:F1"/>
    <mergeCell ref="A2:B2"/>
    <mergeCell ref="A4:B4"/>
    <mergeCell ref="A5:B5"/>
    <mergeCell ref="A6:B6"/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AML57"/>
  <sheetViews>
    <sheetView zoomScale="150" zoomScaleNormal="150" workbookViewId="0">
      <selection activeCell="L19" sqref="L19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hidden="1" customWidth="1"/>
    <col min="8" max="8" width="10.42578125" style="224" hidden="1" customWidth="1"/>
    <col min="9" max="9" width="13.140625" style="188" hidden="1" customWidth="1"/>
    <col min="10" max="10" width="11.85546875" style="189" customWidth="1"/>
    <col min="11" max="11" width="9.140625" style="188"/>
    <col min="12" max="12" width="7.140625" style="304" customWidth="1"/>
    <col min="13" max="13" width="12.140625" style="311" bestFit="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3" t="s">
        <v>28</v>
      </c>
      <c r="B2" s="813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197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1" t="s">
        <v>34</v>
      </c>
      <c r="B4" s="781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1" t="s">
        <v>35</v>
      </c>
      <c r="B5" s="781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1" t="s">
        <v>36</v>
      </c>
      <c r="B6" s="781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12" t="s">
        <v>37</v>
      </c>
      <c r="B7" s="812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8" t="s">
        <v>181</v>
      </c>
      <c r="B9" s="809"/>
      <c r="C9" s="300">
        <v>722</v>
      </c>
      <c r="D9" s="199"/>
      <c r="E9" s="199">
        <v>108.64</v>
      </c>
      <c r="F9" s="199">
        <f>C9*E9</f>
        <v>78438.080000000002</v>
      </c>
      <c r="G9" s="170">
        <f>F9/$F$19</f>
        <v>0.12560082989529206</v>
      </c>
      <c r="H9" s="204">
        <f>F9*G9</f>
        <v>9851.8879433933107</v>
      </c>
      <c r="I9" s="194">
        <f t="shared" ref="I9:I18" si="0">G9*$N$41</f>
        <v>95621.956551400159</v>
      </c>
      <c r="J9" s="302">
        <f t="shared" ref="J9:J18" si="1">I9/C9</f>
        <v>132.44038303518028</v>
      </c>
      <c r="K9" s="302">
        <v>132.44</v>
      </c>
      <c r="L9" s="302">
        <f>J9-K9</f>
        <v>3.8303518027760219E-4</v>
      </c>
      <c r="M9" s="311">
        <f t="shared" ref="M9:M18" si="2">K9*C9</f>
        <v>95621.68</v>
      </c>
      <c r="N9" s="311">
        <f t="shared" ref="N9:N18" si="3">J9*C9</f>
        <v>95621.956551400159</v>
      </c>
    </row>
    <row r="10" spans="1:1026" s="196" customFormat="1" ht="9.9499999999999993" customHeight="1" x14ac:dyDescent="0.25">
      <c r="A10" s="808" t="s">
        <v>182</v>
      </c>
      <c r="B10" s="809"/>
      <c r="C10" s="300">
        <v>361</v>
      </c>
      <c r="D10" s="199"/>
      <c r="E10" s="199">
        <v>108.64</v>
      </c>
      <c r="F10" s="199">
        <f t="shared" ref="F10:F17" si="4">C10*E10</f>
        <v>39219.040000000001</v>
      </c>
      <c r="G10" s="170">
        <f t="shared" ref="G10:G18" si="5">F10/$F$19</f>
        <v>6.280041494764603E-2</v>
      </c>
      <c r="H10" s="204">
        <f t="shared" ref="H10:H18" si="6">F10*G10</f>
        <v>2462.9719858483277</v>
      </c>
      <c r="I10" s="194">
        <f t="shared" si="0"/>
        <v>47810.978275700079</v>
      </c>
      <c r="J10" s="302">
        <f t="shared" si="1"/>
        <v>132.44038303518028</v>
      </c>
      <c r="K10" s="302">
        <v>132.44</v>
      </c>
      <c r="L10" s="302">
        <f t="shared" ref="L10:L17" si="7">J10-K10</f>
        <v>3.8303518027760219E-4</v>
      </c>
      <c r="M10" s="311">
        <f t="shared" si="2"/>
        <v>47810.84</v>
      </c>
      <c r="N10" s="311">
        <f t="shared" si="3"/>
        <v>47810.978275700079</v>
      </c>
    </row>
    <row r="11" spans="1:1026" s="196" customFormat="1" ht="9.9499999999999993" customHeight="1" x14ac:dyDescent="0.25">
      <c r="A11" s="808" t="s">
        <v>183</v>
      </c>
      <c r="B11" s="809"/>
      <c r="C11" s="300">
        <v>722</v>
      </c>
      <c r="D11" s="199"/>
      <c r="E11" s="199">
        <v>108.64</v>
      </c>
      <c r="F11" s="199">
        <f t="shared" si="4"/>
        <v>78438.080000000002</v>
      </c>
      <c r="G11" s="170">
        <f t="shared" si="5"/>
        <v>0.12560082989529206</v>
      </c>
      <c r="H11" s="204"/>
      <c r="I11" s="194">
        <f t="shared" si="0"/>
        <v>95621.956551400159</v>
      </c>
      <c r="J11" s="302">
        <f t="shared" si="1"/>
        <v>132.44038303518028</v>
      </c>
      <c r="K11" s="302">
        <v>132.44</v>
      </c>
      <c r="L11" s="302">
        <f t="shared" si="7"/>
        <v>3.8303518027760219E-4</v>
      </c>
      <c r="M11" s="311">
        <f t="shared" si="2"/>
        <v>95621.68</v>
      </c>
      <c r="N11" s="311">
        <f t="shared" si="3"/>
        <v>95621.956551400159</v>
      </c>
    </row>
    <row r="12" spans="1:1026" s="196" customFormat="1" ht="9.9499999999999993" customHeight="1" x14ac:dyDescent="0.25">
      <c r="A12" s="808" t="s">
        <v>184</v>
      </c>
      <c r="B12" s="809"/>
      <c r="C12" s="300">
        <v>361</v>
      </c>
      <c r="D12" s="199"/>
      <c r="E12" s="199">
        <v>108.64</v>
      </c>
      <c r="F12" s="199">
        <f t="shared" si="4"/>
        <v>39219.040000000001</v>
      </c>
      <c r="G12" s="170">
        <f t="shared" si="5"/>
        <v>6.280041494764603E-2</v>
      </c>
      <c r="H12" s="204"/>
      <c r="I12" s="194">
        <f t="shared" si="0"/>
        <v>47810.978275700079</v>
      </c>
      <c r="J12" s="302">
        <f t="shared" si="1"/>
        <v>132.44038303518028</v>
      </c>
      <c r="K12" s="302">
        <v>132.44</v>
      </c>
      <c r="L12" s="302">
        <f t="shared" si="7"/>
        <v>3.8303518027760219E-4</v>
      </c>
      <c r="M12" s="311">
        <f t="shared" si="2"/>
        <v>47810.84</v>
      </c>
      <c r="N12" s="311">
        <f t="shared" si="3"/>
        <v>47810.978275700079</v>
      </c>
    </row>
    <row r="13" spans="1:1026" s="196" customFormat="1" ht="9.9499999999999993" customHeight="1" x14ac:dyDescent="0.25">
      <c r="A13" s="808" t="s">
        <v>185</v>
      </c>
      <c r="B13" s="809"/>
      <c r="C13" s="300">
        <v>2167</v>
      </c>
      <c r="D13" s="199"/>
      <c r="E13" s="199">
        <v>108.64</v>
      </c>
      <c r="F13" s="199">
        <f t="shared" si="4"/>
        <v>235422.88</v>
      </c>
      <c r="G13" s="170">
        <f t="shared" si="5"/>
        <v>0.3769764520541522</v>
      </c>
      <c r="H13" s="204"/>
      <c r="I13" s="194">
        <f t="shared" si="0"/>
        <v>286998.31003723561</v>
      </c>
      <c r="J13" s="302">
        <f t="shared" si="1"/>
        <v>132.44038303518025</v>
      </c>
      <c r="K13" s="302">
        <v>132.44</v>
      </c>
      <c r="L13" s="302">
        <f t="shared" si="7"/>
        <v>3.8303518024918048E-4</v>
      </c>
      <c r="M13" s="311">
        <f t="shared" si="2"/>
        <v>286997.48</v>
      </c>
      <c r="N13" s="311">
        <f t="shared" si="3"/>
        <v>286998.31003723561</v>
      </c>
    </row>
    <row r="14" spans="1:1026" s="196" customFormat="1" ht="9.9499999999999993" customHeight="1" x14ac:dyDescent="0.25">
      <c r="A14" s="808" t="s">
        <v>186</v>
      </c>
      <c r="B14" s="809"/>
      <c r="C14" s="300">
        <v>542</v>
      </c>
      <c r="D14" s="199"/>
      <c r="E14" s="199">
        <v>108.64</v>
      </c>
      <c r="F14" s="199">
        <f t="shared" si="4"/>
        <v>58882.879999999997</v>
      </c>
      <c r="G14" s="170">
        <f t="shared" si="5"/>
        <v>9.4287603605607048E-2</v>
      </c>
      <c r="H14" s="204"/>
      <c r="I14" s="194">
        <f t="shared" si="0"/>
        <v>71782.687605067695</v>
      </c>
      <c r="J14" s="302">
        <f t="shared" si="1"/>
        <v>132.44038303518025</v>
      </c>
      <c r="K14" s="302">
        <v>132.44</v>
      </c>
      <c r="L14" s="302">
        <f t="shared" si="7"/>
        <v>3.8303518024918048E-4</v>
      </c>
      <c r="M14" s="311">
        <f t="shared" si="2"/>
        <v>71782.48</v>
      </c>
      <c r="N14" s="311">
        <f t="shared" si="3"/>
        <v>71782.687605067695</v>
      </c>
    </row>
    <row r="15" spans="1:1026" s="196" customFormat="1" ht="9.9499999999999993" customHeight="1" x14ac:dyDescent="0.25">
      <c r="A15" s="808" t="s">
        <v>187</v>
      </c>
      <c r="B15" s="809"/>
      <c r="C15" s="300">
        <v>361</v>
      </c>
      <c r="D15" s="199"/>
      <c r="E15" s="199">
        <v>108.64</v>
      </c>
      <c r="F15" s="199">
        <f t="shared" si="4"/>
        <v>39219.040000000001</v>
      </c>
      <c r="G15" s="170">
        <f t="shared" si="5"/>
        <v>6.280041494764603E-2</v>
      </c>
      <c r="H15" s="204"/>
      <c r="I15" s="194">
        <f t="shared" si="0"/>
        <v>47810.978275700079</v>
      </c>
      <c r="J15" s="302">
        <f t="shared" si="1"/>
        <v>132.44038303518028</v>
      </c>
      <c r="K15" s="302">
        <v>132.44</v>
      </c>
      <c r="L15" s="302">
        <f t="shared" si="7"/>
        <v>3.8303518027760219E-4</v>
      </c>
      <c r="M15" s="311">
        <f t="shared" si="2"/>
        <v>47810.84</v>
      </c>
      <c r="N15" s="311">
        <f t="shared" si="3"/>
        <v>47810.978275700079</v>
      </c>
    </row>
    <row r="16" spans="1:1026" s="196" customFormat="1" ht="9.9499999999999993" customHeight="1" x14ac:dyDescent="0.25">
      <c r="A16" s="808" t="s">
        <v>188</v>
      </c>
      <c r="B16" s="809"/>
      <c r="C16" s="300">
        <v>52</v>
      </c>
      <c r="D16" s="199"/>
      <c r="E16" s="199">
        <v>108.64</v>
      </c>
      <c r="F16" s="199">
        <f t="shared" si="4"/>
        <v>5649.28</v>
      </c>
      <c r="G16" s="170">
        <f t="shared" si="5"/>
        <v>9.0460431503534434E-3</v>
      </c>
      <c r="H16" s="204"/>
      <c r="I16" s="194">
        <f t="shared" si="0"/>
        <v>6886.8999178293734</v>
      </c>
      <c r="J16" s="302">
        <f t="shared" si="1"/>
        <v>132.44038303518025</v>
      </c>
      <c r="K16" s="302">
        <v>132.44</v>
      </c>
      <c r="L16" s="302">
        <f t="shared" si="7"/>
        <v>3.8303518024918048E-4</v>
      </c>
      <c r="M16" s="311">
        <f t="shared" si="2"/>
        <v>6886.88</v>
      </c>
      <c r="N16" s="311">
        <f t="shared" si="3"/>
        <v>6886.8999178293725</v>
      </c>
    </row>
    <row r="17" spans="1:1026" s="196" customFormat="1" ht="9.9499999999999993" customHeight="1" x14ac:dyDescent="0.25">
      <c r="A17" s="808" t="s">
        <v>189</v>
      </c>
      <c r="B17" s="809"/>
      <c r="C17" s="300">
        <v>129</v>
      </c>
      <c r="D17" s="199"/>
      <c r="E17" s="199">
        <v>108.64</v>
      </c>
      <c r="F17" s="199">
        <f t="shared" si="4"/>
        <v>14014.56</v>
      </c>
      <c r="G17" s="170">
        <f t="shared" si="5"/>
        <v>2.244114550760758E-2</v>
      </c>
      <c r="H17" s="204">
        <f t="shared" si="6"/>
        <v>314.50278018509687</v>
      </c>
      <c r="I17" s="194">
        <f t="shared" si="0"/>
        <v>17084.809411538252</v>
      </c>
      <c r="J17" s="302">
        <f t="shared" si="1"/>
        <v>132.44038303518025</v>
      </c>
      <c r="K17" s="302">
        <v>132.44</v>
      </c>
      <c r="L17" s="302">
        <f t="shared" si="7"/>
        <v>3.8303518024918048E-4</v>
      </c>
      <c r="M17" s="311">
        <f t="shared" si="2"/>
        <v>17084.759999999998</v>
      </c>
      <c r="N17" s="311">
        <f t="shared" si="3"/>
        <v>17084.809411538252</v>
      </c>
    </row>
    <row r="18" spans="1:1026" s="196" customFormat="1" ht="9.9499999999999993" customHeight="1" x14ac:dyDescent="0.25">
      <c r="A18" s="808" t="s">
        <v>190</v>
      </c>
      <c r="B18" s="809"/>
      <c r="C18" s="300">
        <v>240</v>
      </c>
      <c r="D18" s="199"/>
      <c r="E18" s="199">
        <v>150</v>
      </c>
      <c r="F18" s="199">
        <f>C18*E18</f>
        <v>36000</v>
      </c>
      <c r="G18" s="170">
        <f t="shared" si="5"/>
        <v>5.7645851048757364E-2</v>
      </c>
      <c r="H18" s="204">
        <f t="shared" si="6"/>
        <v>2075.250637755265</v>
      </c>
      <c r="I18" s="194">
        <f t="shared" si="0"/>
        <v>43886.724864382268</v>
      </c>
      <c r="J18" s="302">
        <f t="shared" si="1"/>
        <v>182.86135360159278</v>
      </c>
      <c r="K18" s="302">
        <v>182.87</v>
      </c>
      <c r="L18" s="302">
        <f>J18-K18+0.01</f>
        <v>1.3536015927775227E-3</v>
      </c>
      <c r="M18" s="311">
        <f t="shared" si="2"/>
        <v>43888.800000000003</v>
      </c>
      <c r="N18" s="311">
        <f t="shared" si="3"/>
        <v>43886.724864382268</v>
      </c>
    </row>
    <row r="19" spans="1:1026" s="196" customFormat="1" ht="9.9499999999999993" customHeight="1" x14ac:dyDescent="0.15">
      <c r="A19" s="811" t="s">
        <v>8</v>
      </c>
      <c r="B19" s="811"/>
      <c r="C19" s="193">
        <f>SUM(C9:C18)</f>
        <v>5657</v>
      </c>
      <c r="D19" s="199">
        <f>SUM(D9:D18)</f>
        <v>0</v>
      </c>
      <c r="E19" s="199"/>
      <c r="F19" s="192">
        <f>SUM(F9:F18)</f>
        <v>624502.88000000012</v>
      </c>
      <c r="G19" s="170">
        <f>SUM(G9:G18)</f>
        <v>0.99999999999999989</v>
      </c>
      <c r="H19" s="206">
        <f>SUM(H9:H18)</f>
        <v>14704.613347182001</v>
      </c>
      <c r="I19" s="194">
        <f>SUM(I9:I18)</f>
        <v>761316.27976595389</v>
      </c>
      <c r="J19" s="194"/>
      <c r="K19" s="194"/>
      <c r="M19" s="303">
        <f>SUM(M9:M18)</f>
        <v>761316.28</v>
      </c>
      <c r="N19" s="303">
        <f>SUM(N9:N18)</f>
        <v>761316.27976595389</v>
      </c>
      <c r="O19" s="311">
        <f>E49-M19</f>
        <v>-12160.418433801271</v>
      </c>
    </row>
    <row r="20" spans="1:1026" s="196" customFormat="1" ht="9.9499999999999993" hidden="1" customHeight="1" x14ac:dyDescent="0.25">
      <c r="A20" s="197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197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197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197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12" t="s">
        <v>52</v>
      </c>
      <c r="B25" s="812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197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7"/>
      <c r="B27" s="787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1" t="s">
        <v>8</v>
      </c>
      <c r="B28" s="811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>
        <f>N19-M19</f>
        <v>-2.3404613602906466E-4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297"/>
      <c r="D31" s="297"/>
      <c r="E31" s="221" t="s">
        <v>13</v>
      </c>
      <c r="F31" s="173" t="s">
        <v>13</v>
      </c>
      <c r="G31" s="215"/>
      <c r="H31" s="215"/>
      <c r="I31" s="222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5.9735139E-2</v>
      </c>
      <c r="C32" s="223"/>
      <c r="D32" s="223"/>
      <c r="E32" s="171">
        <f>B32*F19</f>
        <v>37304.766342700328</v>
      </c>
      <c r="F32" s="171">
        <f>B32*F19</f>
        <v>37304.766342700328</v>
      </c>
      <c r="H32" s="225"/>
      <c r="I32" s="243"/>
      <c r="K32" s="243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2.3900000000000001E-2</v>
      </c>
      <c r="C33" s="297"/>
      <c r="D33" s="297"/>
      <c r="E33" s="171">
        <f>F33</f>
        <v>14925.618832000004</v>
      </c>
      <c r="F33" s="171">
        <f>B33*F19</f>
        <v>14925.618832000004</v>
      </c>
      <c r="H33" s="226"/>
      <c r="I33" s="243"/>
      <c r="K33" s="24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2.8299999999999999E-2</v>
      </c>
      <c r="C34" s="223"/>
      <c r="D34" s="223"/>
      <c r="E34" s="171">
        <f>F34</f>
        <v>18729.156391498422</v>
      </c>
      <c r="F34" s="171">
        <f>(F19+F32)*B34</f>
        <v>18729.156391498422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297"/>
      <c r="C35" s="297"/>
      <c r="D35" s="297"/>
      <c r="E35" s="172">
        <f>SUM(E32:E34)</f>
        <v>70959.54156619875</v>
      </c>
      <c r="F35" s="172">
        <f>SUM(F32:F34)</f>
        <v>70959.54156619875</v>
      </c>
      <c r="G35" s="215"/>
      <c r="H35" s="215"/>
      <c r="M35" s="243">
        <f>F35-E35</f>
        <v>0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297"/>
      <c r="C36" s="297"/>
      <c r="D36" s="297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297"/>
      <c r="C37" s="297"/>
      <c r="D37" s="297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v>4034.77</v>
      </c>
      <c r="F38" s="171">
        <f>B38*E47</f>
        <v>4948.5558184786996</v>
      </c>
      <c r="G38" s="215"/>
      <c r="H38" s="215"/>
      <c r="M38" s="243"/>
      <c r="N38" s="189">
        <f>E49-N34</f>
        <v>128422.5315661988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v>18622</v>
      </c>
      <c r="F39" s="171">
        <f>B39*E47</f>
        <v>22839.488392978616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v>31036.67</v>
      </c>
      <c r="F40" s="171">
        <f>B40*E47</f>
        <v>38065.813988297698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53693.440000000002</v>
      </c>
      <c r="F41" s="172">
        <f>SUM(F38:F40)</f>
        <v>65853.858199755021</v>
      </c>
      <c r="H41" s="215"/>
      <c r="M41" s="188"/>
      <c r="N41" s="215">
        <f>F35+F41+F19</f>
        <v>761316.27976595389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customHeight="1" x14ac:dyDescent="0.25">
      <c r="A44" s="802" t="s">
        <v>58</v>
      </c>
      <c r="B44" s="802"/>
      <c r="C44" s="213"/>
      <c r="D44" s="213"/>
      <c r="E44" s="231">
        <f>F19+E35</f>
        <v>695462.42156619881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customHeight="1" x14ac:dyDescent="0.25">
      <c r="A45" s="796" t="s">
        <v>59</v>
      </c>
      <c r="B45" s="796"/>
      <c r="C45" s="297"/>
      <c r="D45" s="297"/>
      <c r="E45" s="172">
        <f>F19+F35</f>
        <v>695462.42156619881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customHeight="1" x14ac:dyDescent="0.25">
      <c r="A46" s="299"/>
      <c r="B46" s="299"/>
      <c r="C46" s="297"/>
      <c r="D46" s="297"/>
      <c r="E46" s="172">
        <f>E44/(1-B41)</f>
        <v>761316.27976595389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customHeight="1" x14ac:dyDescent="0.25">
      <c r="A47" s="796" t="s">
        <v>60</v>
      </c>
      <c r="B47" s="796"/>
      <c r="C47" s="297"/>
      <c r="D47" s="297"/>
      <c r="E47" s="172">
        <f>E45/(1-B41)</f>
        <v>761316.27976595389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10" t="s">
        <v>24</v>
      </c>
      <c r="B48" s="810"/>
      <c r="C48" s="298"/>
      <c r="D48" s="298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10" t="s">
        <v>26</v>
      </c>
      <c r="B49" s="810"/>
      <c r="C49" s="298"/>
      <c r="D49" s="298"/>
      <c r="E49" s="172">
        <f>F19+E35+E41</f>
        <v>749155.86156619876</v>
      </c>
      <c r="F49" s="172">
        <f>F19+F35+F41</f>
        <v>761316.27976595378</v>
      </c>
      <c r="H49" s="231"/>
      <c r="J49" s="172">
        <f>F49-E49-0.01</f>
        <v>12160.408199755018</v>
      </c>
      <c r="M49" s="242">
        <v>86580</v>
      </c>
      <c r="N49" s="189">
        <f>M49-E49</f>
        <v>-662575.86156619876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10" t="s">
        <v>27</v>
      </c>
      <c r="B50" s="810"/>
      <c r="C50" s="211"/>
      <c r="D50" s="211"/>
      <c r="E50" s="172">
        <f>E49*12-10.36</f>
        <v>8989859.9787943847</v>
      </c>
      <c r="F50" s="172">
        <f>F49*12-10.42</f>
        <v>9135784.9371914454</v>
      </c>
      <c r="H50" s="231"/>
      <c r="J50" s="172">
        <f>F50-E50</f>
        <v>145924.95839706063</v>
      </c>
      <c r="M50" s="242">
        <v>519480</v>
      </c>
      <c r="N50" s="189">
        <f>M50-E50</f>
        <v>-8470379.9787943847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50:B50"/>
    <mergeCell ref="A17:B17"/>
    <mergeCell ref="A18:B18"/>
    <mergeCell ref="A19:B19"/>
    <mergeCell ref="A25:B25"/>
    <mergeCell ref="A27:B27"/>
    <mergeCell ref="A28:B28"/>
    <mergeCell ref="A44:B44"/>
    <mergeCell ref="A45:B45"/>
    <mergeCell ref="A47:B47"/>
    <mergeCell ref="A48:B48"/>
    <mergeCell ref="A49:B49"/>
    <mergeCell ref="A15:B15"/>
    <mergeCell ref="A16:B16"/>
    <mergeCell ref="A9:B9"/>
    <mergeCell ref="A10:B10"/>
    <mergeCell ref="A11:B11"/>
    <mergeCell ref="A12:B12"/>
    <mergeCell ref="A13:B13"/>
    <mergeCell ref="A14:B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AML57"/>
  <sheetViews>
    <sheetView topLeftCell="A9" zoomScale="120" zoomScaleNormal="120" workbookViewId="0">
      <selection activeCell="J18" sqref="J18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customWidth="1"/>
    <col min="8" max="8" width="10.42578125" style="224" customWidth="1"/>
    <col min="9" max="9" width="13.140625" style="188" customWidth="1"/>
    <col min="10" max="10" width="11.85546875" style="189" customWidth="1"/>
    <col min="11" max="11" width="9.140625" style="188"/>
    <col min="12" max="12" width="5.28515625" style="304" customWidth="1"/>
    <col min="13" max="13" width="9.5703125" style="31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3" t="s">
        <v>28</v>
      </c>
      <c r="B2" s="813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310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1" t="s">
        <v>34</v>
      </c>
      <c r="B4" s="781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1" t="s">
        <v>35</v>
      </c>
      <c r="B5" s="781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1" t="s">
        <v>36</v>
      </c>
      <c r="B6" s="781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12" t="s">
        <v>37</v>
      </c>
      <c r="B7" s="812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8" t="s">
        <v>181</v>
      </c>
      <c r="B9" s="809"/>
      <c r="C9" s="300"/>
      <c r="D9" s="199"/>
      <c r="E9" s="199"/>
      <c r="F9" s="199"/>
      <c r="G9" s="170"/>
      <c r="H9" s="204"/>
      <c r="I9" s="194">
        <f>G9*$N$41</f>
        <v>0</v>
      </c>
      <c r="J9" s="302" t="e">
        <f t="shared" ref="J9:J18" si="0">I9/C9</f>
        <v>#DIV/0!</v>
      </c>
      <c r="K9" s="302">
        <v>134.58000000000001</v>
      </c>
      <c r="L9" s="302" t="e">
        <f>J9-K9</f>
        <v>#DIV/0!</v>
      </c>
      <c r="M9" s="311">
        <f t="shared" ref="M9:M18" si="1">K9*C9</f>
        <v>0</v>
      </c>
      <c r="N9" s="311" t="e">
        <f t="shared" ref="N9:N18" si="2">J9*C9</f>
        <v>#DIV/0!</v>
      </c>
    </row>
    <row r="10" spans="1:1026" s="196" customFormat="1" ht="9.9499999999999993" customHeight="1" x14ac:dyDescent="0.25">
      <c r="A10" s="808" t="s">
        <v>182</v>
      </c>
      <c r="B10" s="809"/>
      <c r="C10" s="300"/>
      <c r="D10" s="199"/>
      <c r="E10" s="199"/>
      <c r="F10" s="199"/>
      <c r="G10" s="170"/>
      <c r="H10" s="204"/>
      <c r="I10" s="194">
        <f t="shared" ref="I10:I18" si="3">G10*$N$41</f>
        <v>0</v>
      </c>
      <c r="J10" s="302" t="e">
        <f t="shared" si="0"/>
        <v>#DIV/0!</v>
      </c>
      <c r="K10" s="302">
        <v>134.58000000000001</v>
      </c>
      <c r="L10" s="302" t="e">
        <f t="shared" ref="L10:L18" si="4">J10-K10</f>
        <v>#DIV/0!</v>
      </c>
      <c r="M10" s="311">
        <f t="shared" si="1"/>
        <v>0</v>
      </c>
      <c r="N10" s="311" t="e">
        <f t="shared" si="2"/>
        <v>#DIV/0!</v>
      </c>
    </row>
    <row r="11" spans="1:1026" s="196" customFormat="1" ht="9.9499999999999993" customHeight="1" x14ac:dyDescent="0.25">
      <c r="A11" s="808" t="s">
        <v>183</v>
      </c>
      <c r="B11" s="809"/>
      <c r="C11" s="300"/>
      <c r="D11" s="199"/>
      <c r="E11" s="199"/>
      <c r="F11" s="199"/>
      <c r="G11" s="170"/>
      <c r="H11" s="204"/>
      <c r="I11" s="194">
        <f t="shared" si="3"/>
        <v>0</v>
      </c>
      <c r="J11" s="302" t="e">
        <f t="shared" si="0"/>
        <v>#DIV/0!</v>
      </c>
      <c r="K11" s="302">
        <v>134.58000000000001</v>
      </c>
      <c r="L11" s="302" t="e">
        <f t="shared" si="4"/>
        <v>#DIV/0!</v>
      </c>
      <c r="M11" s="311">
        <f t="shared" si="1"/>
        <v>0</v>
      </c>
      <c r="N11" s="311" t="e">
        <f t="shared" si="2"/>
        <v>#DIV/0!</v>
      </c>
    </row>
    <row r="12" spans="1:1026" s="196" customFormat="1" ht="9.9499999999999993" customHeight="1" x14ac:dyDescent="0.25">
      <c r="A12" s="808" t="s">
        <v>184</v>
      </c>
      <c r="B12" s="809"/>
      <c r="C12" s="300"/>
      <c r="D12" s="199"/>
      <c r="E12" s="199"/>
      <c r="F12" s="199"/>
      <c r="G12" s="170"/>
      <c r="H12" s="204"/>
      <c r="I12" s="194">
        <f t="shared" si="3"/>
        <v>0</v>
      </c>
      <c r="J12" s="302" t="e">
        <f t="shared" si="0"/>
        <v>#DIV/0!</v>
      </c>
      <c r="K12" s="302">
        <v>134.58000000000001</v>
      </c>
      <c r="L12" s="302" t="e">
        <f t="shared" si="4"/>
        <v>#DIV/0!</v>
      </c>
      <c r="M12" s="311">
        <f t="shared" si="1"/>
        <v>0</v>
      </c>
      <c r="N12" s="311" t="e">
        <f t="shared" si="2"/>
        <v>#DIV/0!</v>
      </c>
    </row>
    <row r="13" spans="1:1026" s="196" customFormat="1" ht="9.9499999999999993" customHeight="1" x14ac:dyDescent="0.25">
      <c r="A13" s="808" t="s">
        <v>185</v>
      </c>
      <c r="B13" s="809"/>
      <c r="C13" s="300"/>
      <c r="D13" s="199"/>
      <c r="E13" s="199"/>
      <c r="F13" s="199"/>
      <c r="G13" s="170"/>
      <c r="H13" s="204"/>
      <c r="I13" s="194">
        <f t="shared" si="3"/>
        <v>0</v>
      </c>
      <c r="J13" s="302" t="e">
        <f t="shared" si="0"/>
        <v>#DIV/0!</v>
      </c>
      <c r="K13" s="302">
        <v>134.58000000000001</v>
      </c>
      <c r="L13" s="302" t="e">
        <f t="shared" si="4"/>
        <v>#DIV/0!</v>
      </c>
      <c r="M13" s="311">
        <f t="shared" si="1"/>
        <v>0</v>
      </c>
      <c r="N13" s="311" t="e">
        <f t="shared" si="2"/>
        <v>#DIV/0!</v>
      </c>
    </row>
    <row r="14" spans="1:1026" s="196" customFormat="1" ht="9.9499999999999993" customHeight="1" x14ac:dyDescent="0.25">
      <c r="A14" s="808" t="s">
        <v>186</v>
      </c>
      <c r="B14" s="809"/>
      <c r="C14" s="300"/>
      <c r="D14" s="199"/>
      <c r="E14" s="199"/>
      <c r="F14" s="199"/>
      <c r="G14" s="170"/>
      <c r="H14" s="204"/>
      <c r="I14" s="194">
        <f t="shared" si="3"/>
        <v>0</v>
      </c>
      <c r="J14" s="302" t="e">
        <f t="shared" si="0"/>
        <v>#DIV/0!</v>
      </c>
      <c r="K14" s="302">
        <v>134.58000000000001</v>
      </c>
      <c r="L14" s="302" t="e">
        <f t="shared" si="4"/>
        <v>#DIV/0!</v>
      </c>
      <c r="M14" s="311">
        <f t="shared" si="1"/>
        <v>0</v>
      </c>
      <c r="N14" s="311" t="e">
        <f t="shared" si="2"/>
        <v>#DIV/0!</v>
      </c>
    </row>
    <row r="15" spans="1:1026" s="196" customFormat="1" ht="9.9499999999999993" customHeight="1" x14ac:dyDescent="0.25">
      <c r="A15" s="808" t="s">
        <v>187</v>
      </c>
      <c r="B15" s="809"/>
      <c r="C15" s="300"/>
      <c r="D15" s="199"/>
      <c r="E15" s="199"/>
      <c r="F15" s="199"/>
      <c r="G15" s="170"/>
      <c r="H15" s="204"/>
      <c r="I15" s="194">
        <f t="shared" si="3"/>
        <v>0</v>
      </c>
      <c r="J15" s="302" t="e">
        <f t="shared" si="0"/>
        <v>#DIV/0!</v>
      </c>
      <c r="K15" s="302">
        <v>134.58000000000001</v>
      </c>
      <c r="L15" s="302" t="e">
        <f t="shared" si="4"/>
        <v>#DIV/0!</v>
      </c>
      <c r="M15" s="311">
        <f t="shared" si="1"/>
        <v>0</v>
      </c>
      <c r="N15" s="311" t="e">
        <f t="shared" si="2"/>
        <v>#DIV/0!</v>
      </c>
    </row>
    <row r="16" spans="1:1026" s="196" customFormat="1" ht="9.9499999999999993" customHeight="1" x14ac:dyDescent="0.25">
      <c r="A16" s="808" t="s">
        <v>188</v>
      </c>
      <c r="B16" s="809"/>
      <c r="C16" s="300"/>
      <c r="D16" s="199"/>
      <c r="E16" s="199"/>
      <c r="F16" s="199"/>
      <c r="G16" s="170"/>
      <c r="H16" s="204"/>
      <c r="I16" s="194">
        <f t="shared" si="3"/>
        <v>0</v>
      </c>
      <c r="J16" s="302" t="e">
        <f t="shared" si="0"/>
        <v>#DIV/0!</v>
      </c>
      <c r="K16" s="302">
        <v>134.58000000000001</v>
      </c>
      <c r="L16" s="302" t="e">
        <f t="shared" si="4"/>
        <v>#DIV/0!</v>
      </c>
      <c r="M16" s="311">
        <f t="shared" si="1"/>
        <v>0</v>
      </c>
      <c r="N16" s="311" t="e">
        <f t="shared" si="2"/>
        <v>#DIV/0!</v>
      </c>
    </row>
    <row r="17" spans="1:1026" s="196" customFormat="1" ht="9.9499999999999993" customHeight="1" x14ac:dyDescent="0.25">
      <c r="A17" s="808" t="s">
        <v>189</v>
      </c>
      <c r="B17" s="809"/>
      <c r="C17" s="300"/>
      <c r="D17" s="199"/>
      <c r="E17" s="199"/>
      <c r="F17" s="199"/>
      <c r="G17" s="170"/>
      <c r="H17" s="204"/>
      <c r="I17" s="194">
        <f t="shared" si="3"/>
        <v>0</v>
      </c>
      <c r="J17" s="302">
        <f>(F19+F35+F41)/C18</f>
        <v>182.86535303776685</v>
      </c>
      <c r="K17" s="302">
        <v>134.58000000000001</v>
      </c>
      <c r="L17" s="302">
        <f t="shared" si="4"/>
        <v>48.285353037766839</v>
      </c>
      <c r="M17" s="311">
        <f t="shared" si="1"/>
        <v>0</v>
      </c>
      <c r="N17" s="311">
        <f t="shared" si="2"/>
        <v>0</v>
      </c>
    </row>
    <row r="18" spans="1:1026" s="196" customFormat="1" ht="9.9499999999999993" customHeight="1" x14ac:dyDescent="0.25">
      <c r="A18" s="808" t="s">
        <v>190</v>
      </c>
      <c r="B18" s="809"/>
      <c r="C18" s="300">
        <v>240</v>
      </c>
      <c r="D18" s="199"/>
      <c r="E18" s="199">
        <v>150</v>
      </c>
      <c r="F18" s="199">
        <f>C18*E18</f>
        <v>36000</v>
      </c>
      <c r="G18" s="170"/>
      <c r="H18" s="204"/>
      <c r="I18" s="194">
        <f t="shared" si="3"/>
        <v>0</v>
      </c>
      <c r="J18" s="302">
        <f t="shared" si="0"/>
        <v>0</v>
      </c>
      <c r="K18" s="302">
        <v>134.58000000000001</v>
      </c>
      <c r="L18" s="302">
        <f t="shared" si="4"/>
        <v>-134.58000000000001</v>
      </c>
      <c r="M18" s="311">
        <f t="shared" si="1"/>
        <v>32299.200000000004</v>
      </c>
      <c r="N18" s="311">
        <f t="shared" si="2"/>
        <v>0</v>
      </c>
    </row>
    <row r="19" spans="1:1026" s="196" customFormat="1" ht="9.9499999999999993" customHeight="1" x14ac:dyDescent="0.15">
      <c r="A19" s="811" t="s">
        <v>8</v>
      </c>
      <c r="B19" s="811"/>
      <c r="C19" s="193">
        <f>SUM(C9:C18)</f>
        <v>240</v>
      </c>
      <c r="D19" s="199">
        <f>SUM(D9:D18)</f>
        <v>0</v>
      </c>
      <c r="E19" s="199"/>
      <c r="F19" s="192">
        <f>SUM(F9:F18)</f>
        <v>36000</v>
      </c>
      <c r="G19" s="170">
        <f>SUM(G9:G18)</f>
        <v>0</v>
      </c>
      <c r="H19" s="206">
        <f>SUM(H9:H18)</f>
        <v>0</v>
      </c>
      <c r="I19" s="194">
        <f>SUM(I9:I18)</f>
        <v>0</v>
      </c>
      <c r="J19" s="194"/>
      <c r="K19" s="194"/>
      <c r="M19" s="303">
        <f>SUM(M9:M18)</f>
        <v>32299.200000000004</v>
      </c>
      <c r="N19" s="303" t="e">
        <f>SUM(N9:N18)</f>
        <v>#DIV/0!</v>
      </c>
      <c r="O19" s="311">
        <f>E49-M19</f>
        <v>27019.026600985213</v>
      </c>
    </row>
    <row r="20" spans="1:1026" s="196" customFormat="1" ht="9.9499999999999993" hidden="1" customHeight="1" x14ac:dyDescent="0.25">
      <c r="A20" s="310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310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310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310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12" t="s">
        <v>52</v>
      </c>
      <c r="B25" s="812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310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7"/>
      <c r="B27" s="787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1" t="s">
        <v>8</v>
      </c>
      <c r="B28" s="811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 t="e">
        <f>N19-M19</f>
        <v>#DIV/0!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308"/>
      <c r="D31" s="308"/>
      <c r="E31" s="221" t="s">
        <v>13</v>
      </c>
      <c r="F31" s="173" t="s">
        <v>13</v>
      </c>
      <c r="G31" s="215"/>
      <c r="H31" s="215"/>
      <c r="I31" s="222"/>
      <c r="K31" s="313">
        <f>E32/F19</f>
        <v>5.970000000000001E-2</v>
      </c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5.9700000000000003E-2</v>
      </c>
      <c r="C32" s="223"/>
      <c r="D32" s="223"/>
      <c r="E32" s="171">
        <f>B32*F19</f>
        <v>2149.2000000000003</v>
      </c>
      <c r="F32" s="171">
        <f>B32*F19</f>
        <v>2149.2000000000003</v>
      </c>
      <c r="H32" s="225"/>
      <c r="I32" s="243"/>
      <c r="K32" s="313">
        <f>E33/F19</f>
        <v>0.41549999999999998</v>
      </c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2.3949999999999999E-2</v>
      </c>
      <c r="C33" s="308"/>
      <c r="D33" s="308"/>
      <c r="E33" s="171">
        <v>14958</v>
      </c>
      <c r="F33" s="171">
        <f>B33*F19</f>
        <v>862.19999999999993</v>
      </c>
      <c r="H33" s="226"/>
      <c r="I33" s="243"/>
      <c r="K33" s="31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0.03</v>
      </c>
      <c r="C34" s="223"/>
      <c r="D34" s="223"/>
      <c r="E34" s="171">
        <f>B34*(F19)</f>
        <v>1080</v>
      </c>
      <c r="F34" s="171">
        <f>(F19)*B34</f>
        <v>1080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308"/>
      <c r="C35" s="308"/>
      <c r="D35" s="308"/>
      <c r="E35" s="172">
        <f>SUM(E32:E34)</f>
        <v>18187.2</v>
      </c>
      <c r="F35" s="172">
        <f>SUM(F32:F34)</f>
        <v>4091.4</v>
      </c>
      <c r="G35" s="215"/>
      <c r="H35" s="215"/>
      <c r="M35" s="243">
        <f>F35-E35</f>
        <v>-14095.800000000001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308"/>
      <c r="C36" s="308"/>
      <c r="D36" s="308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308"/>
      <c r="C37" s="308"/>
      <c r="D37" s="308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f>B38*E46</f>
        <v>385.56847290640388</v>
      </c>
      <c r="F38" s="171">
        <f>B38*E47</f>
        <v>285.26995073891629</v>
      </c>
      <c r="G38" s="215"/>
      <c r="H38" s="215"/>
      <c r="M38" s="243"/>
      <c r="N38" s="189">
        <f>E49-N34</f>
        <v>-561415.1033990148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f>B39*E46</f>
        <v>1779.5467980295564</v>
      </c>
      <c r="F39" s="171">
        <f>B39*E47</f>
        <v>1316.6305418719212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f>B40*E46</f>
        <v>2965.9113300492609</v>
      </c>
      <c r="F40" s="171">
        <f>B40*E47</f>
        <v>2194.3842364532024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5131.0266009852212</v>
      </c>
      <c r="F41" s="172">
        <f>SUM(F38:F40)</f>
        <v>3796.2847290640402</v>
      </c>
      <c r="H41" s="215"/>
      <c r="M41" s="188"/>
      <c r="N41" s="215">
        <f>F35+F41+F19</f>
        <v>43887.684729064043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hidden="1" customHeight="1" x14ac:dyDescent="0.25">
      <c r="A44" s="802" t="s">
        <v>58</v>
      </c>
      <c r="B44" s="802"/>
      <c r="C44" s="213"/>
      <c r="D44" s="213"/>
      <c r="E44" s="231">
        <f>F19+E35</f>
        <v>54187.199999999997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hidden="1" customHeight="1" x14ac:dyDescent="0.25">
      <c r="A45" s="796" t="s">
        <v>59</v>
      </c>
      <c r="B45" s="796"/>
      <c r="C45" s="308"/>
      <c r="D45" s="308"/>
      <c r="E45" s="172">
        <f>F19+F35</f>
        <v>40091.4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hidden="1" customHeight="1" x14ac:dyDescent="0.25">
      <c r="A46" s="309"/>
      <c r="B46" s="309"/>
      <c r="C46" s="308"/>
      <c r="D46" s="308"/>
      <c r="E46" s="172">
        <f>E44/(1-B41)</f>
        <v>59318.226600985217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hidden="1" customHeight="1" x14ac:dyDescent="0.25">
      <c r="A47" s="796" t="s">
        <v>60</v>
      </c>
      <c r="B47" s="796"/>
      <c r="C47" s="308"/>
      <c r="D47" s="308"/>
      <c r="E47" s="172">
        <f>E45/(1-B41)</f>
        <v>43887.684729064043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10" t="s">
        <v>24</v>
      </c>
      <c r="B48" s="810"/>
      <c r="C48" s="307"/>
      <c r="D48" s="307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10" t="s">
        <v>26</v>
      </c>
      <c r="B49" s="810"/>
      <c r="C49" s="307"/>
      <c r="D49" s="307"/>
      <c r="E49" s="172">
        <f>F19+E35+E41</f>
        <v>59318.226600985217</v>
      </c>
      <c r="F49" s="172">
        <f>F19+F35+F41</f>
        <v>43887.684729064043</v>
      </c>
      <c r="H49" s="231"/>
      <c r="J49" s="172">
        <f>F49-E49-0.01</f>
        <v>-15430.551871921174</v>
      </c>
      <c r="M49" s="242">
        <v>86580</v>
      </c>
      <c r="N49" s="189">
        <f>M49-E49</f>
        <v>27261.773399014783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10" t="s">
        <v>27</v>
      </c>
      <c r="B50" s="810"/>
      <c r="C50" s="211"/>
      <c r="D50" s="211"/>
      <c r="E50" s="172">
        <f>E49*12-10.36</f>
        <v>711808.35921182262</v>
      </c>
      <c r="F50" s="172">
        <f>F49*12-10.42</f>
        <v>526641.79674876842</v>
      </c>
      <c r="H50" s="231"/>
      <c r="J50" s="172">
        <f>F50-E50</f>
        <v>-185166.5624630542</v>
      </c>
      <c r="M50" s="242">
        <v>519480</v>
      </c>
      <c r="N50" s="189">
        <f>M50-E50</f>
        <v>-192328.35921182262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25:B2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49:B49"/>
    <mergeCell ref="A50:B50"/>
    <mergeCell ref="A27:B27"/>
    <mergeCell ref="A28:B28"/>
    <mergeCell ref="A44:B44"/>
    <mergeCell ref="A45:B45"/>
    <mergeCell ref="A47:B47"/>
    <mergeCell ref="A48:B4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tabColor theme="4" tint="0.59999389629810485"/>
  </sheetPr>
  <dimension ref="A1:N58"/>
  <sheetViews>
    <sheetView zoomScale="190" zoomScaleNormal="190" workbookViewId="0">
      <selection activeCell="A2" sqref="A2:B2"/>
    </sheetView>
  </sheetViews>
  <sheetFormatPr defaultColWidth="9.140625" defaultRowHeight="10.5" x14ac:dyDescent="0.2"/>
  <cols>
    <col min="1" max="1" width="24.42578125" style="464" customWidth="1"/>
    <col min="2" max="2" width="9.5703125" style="464" customWidth="1"/>
    <col min="3" max="3" width="6.85546875" style="465" customWidth="1"/>
    <col min="4" max="4" width="8.140625" style="465" hidden="1" customWidth="1"/>
    <col min="5" max="5" width="10.140625" style="437" customWidth="1"/>
    <col min="6" max="6" width="11.28515625" style="438" customWidth="1"/>
    <col min="7" max="7" width="8.42578125" style="438" hidden="1" customWidth="1"/>
    <col min="8" max="9" width="10" style="438" hidden="1" customWidth="1"/>
    <col min="10" max="10" width="7.7109375" style="438" customWidth="1"/>
    <col min="11" max="11" width="8.140625" style="189" customWidth="1"/>
    <col min="12" max="12" width="8.85546875" style="189" customWidth="1"/>
    <col min="13" max="13" width="10.140625" style="189" customWidth="1"/>
    <col min="14" max="14" width="11.140625" style="411" bestFit="1" customWidth="1"/>
    <col min="15" max="16384" width="9.140625" style="411"/>
  </cols>
  <sheetData>
    <row r="1" spans="1:13" ht="11.25" thickBot="1" x14ac:dyDescent="0.25">
      <c r="A1" s="820" t="s">
        <v>206</v>
      </c>
      <c r="B1" s="820"/>
      <c r="C1" s="820"/>
      <c r="D1" s="820"/>
      <c r="E1" s="820"/>
      <c r="F1" s="820"/>
      <c r="G1" s="410"/>
      <c r="H1" s="410"/>
      <c r="I1" s="410"/>
      <c r="J1" s="410"/>
    </row>
    <row r="2" spans="1:13" s="414" customFormat="1" ht="75" customHeight="1" x14ac:dyDescent="0.25">
      <c r="A2" s="821" t="s">
        <v>28</v>
      </c>
      <c r="B2" s="821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2" t="s">
        <v>200</v>
      </c>
      <c r="M2" s="413" t="s">
        <v>198</v>
      </c>
    </row>
    <row r="3" spans="1:13" s="414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417"/>
      <c r="M3" s="418"/>
    </row>
    <row r="4" spans="1:13" s="414" customFormat="1" hidden="1" x14ac:dyDescent="0.25">
      <c r="A4" s="817" t="s">
        <v>34</v>
      </c>
      <c r="B4" s="817"/>
      <c r="C4" s="369"/>
      <c r="D4" s="415"/>
      <c r="E4" s="415"/>
      <c r="F4" s="419"/>
      <c r="G4" s="415"/>
      <c r="H4" s="415"/>
      <c r="I4" s="415"/>
      <c r="J4" s="415"/>
      <c r="K4" s="302"/>
      <c r="L4" s="417"/>
      <c r="M4" s="418"/>
    </row>
    <row r="5" spans="1:13" s="414" customFormat="1" hidden="1" x14ac:dyDescent="0.25">
      <c r="A5" s="817" t="s">
        <v>35</v>
      </c>
      <c r="B5" s="817"/>
      <c r="C5" s="369"/>
      <c r="D5" s="415"/>
      <c r="E5" s="415"/>
      <c r="F5" s="419"/>
      <c r="G5" s="415"/>
      <c r="H5" s="415"/>
      <c r="I5" s="415"/>
      <c r="J5" s="415"/>
      <c r="K5" s="302"/>
      <c r="L5" s="417"/>
      <c r="M5" s="418"/>
    </row>
    <row r="6" spans="1:13" s="414" customFormat="1" hidden="1" x14ac:dyDescent="0.25">
      <c r="A6" s="817" t="s">
        <v>36</v>
      </c>
      <c r="B6" s="817"/>
      <c r="C6" s="369"/>
      <c r="D6" s="415"/>
      <c r="E6" s="415"/>
      <c r="F6" s="419"/>
      <c r="G6" s="415"/>
      <c r="H6" s="415"/>
      <c r="I6" s="415"/>
      <c r="J6" s="415"/>
      <c r="K6" s="302"/>
      <c r="L6" s="417"/>
      <c r="M6" s="418"/>
    </row>
    <row r="7" spans="1:13" s="414" customFormat="1" hidden="1" x14ac:dyDescent="0.25">
      <c r="A7" s="817" t="s">
        <v>37</v>
      </c>
      <c r="B7" s="817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417"/>
      <c r="M7" s="418"/>
    </row>
    <row r="8" spans="1:13" s="414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417"/>
      <c r="M8" s="418"/>
    </row>
    <row r="9" spans="1:13" s="414" customFormat="1" ht="9.9499999999999993" customHeight="1" x14ac:dyDescent="0.25">
      <c r="A9" s="370" t="s">
        <v>225</v>
      </c>
      <c r="B9" s="370"/>
      <c r="C9" s="420">
        <v>722</v>
      </c>
      <c r="D9" s="419"/>
      <c r="E9" s="419">
        <v>160</v>
      </c>
      <c r="F9" s="419">
        <f>C9*E9</f>
        <v>115520</v>
      </c>
      <c r="G9" s="415">
        <f t="shared" ref="G9:G17" si="0">F9/$F$18</f>
        <v>0.62187769164513351</v>
      </c>
      <c r="H9" s="467">
        <f>G9*$H$40</f>
        <v>20649.1984824959</v>
      </c>
      <c r="I9" s="467">
        <f t="shared" ref="I9:I18" si="1">H9+F9</f>
        <v>136169.19848249591</v>
      </c>
      <c r="J9" s="467">
        <f>I9/C9</f>
        <v>188.59999789819378</v>
      </c>
      <c r="K9" s="468">
        <v>188.6</v>
      </c>
      <c r="L9" s="317">
        <f>J9*C9</f>
        <v>136169.19848249591</v>
      </c>
      <c r="M9" s="302">
        <f t="shared" ref="M9:M17" si="2">K9*C9</f>
        <v>136169.19999999998</v>
      </c>
    </row>
    <row r="10" spans="1:13" s="414" customFormat="1" ht="9.9499999999999993" customHeight="1" x14ac:dyDescent="0.25">
      <c r="A10" s="370" t="s">
        <v>225</v>
      </c>
      <c r="B10" s="370"/>
      <c r="C10" s="420">
        <v>310</v>
      </c>
      <c r="D10" s="419"/>
      <c r="E10" s="419">
        <v>160</v>
      </c>
      <c r="F10" s="419">
        <f t="shared" ref="F10:F17" si="3">C10*E10</f>
        <v>49600</v>
      </c>
      <c r="G10" s="415">
        <f t="shared" si="0"/>
        <v>0.26701119724375538</v>
      </c>
      <c r="H10" s="467">
        <f t="shared" ref="H10:H17" si="4">G10*$H$40</f>
        <v>8865.9993484400675</v>
      </c>
      <c r="I10" s="467">
        <f t="shared" si="1"/>
        <v>58465.999348440069</v>
      </c>
      <c r="J10" s="467">
        <f>I10/C10</f>
        <v>188.59999789819378</v>
      </c>
      <c r="K10" s="468">
        <v>188.6</v>
      </c>
      <c r="L10" s="317">
        <f t="shared" ref="L10:L17" si="5">K10*C10</f>
        <v>58466</v>
      </c>
      <c r="M10" s="302">
        <f t="shared" si="2"/>
        <v>58466</v>
      </c>
    </row>
    <row r="11" spans="1:13" s="414" customFormat="1" ht="9.9499999999999993" customHeight="1" x14ac:dyDescent="0.25">
      <c r="A11" s="370" t="s">
        <v>225</v>
      </c>
      <c r="B11" s="370"/>
      <c r="C11" s="420">
        <v>129</v>
      </c>
      <c r="D11" s="419"/>
      <c r="E11" s="419">
        <v>160</v>
      </c>
      <c r="F11" s="419">
        <f t="shared" si="3"/>
        <v>20640</v>
      </c>
      <c r="G11" s="415">
        <f t="shared" si="0"/>
        <v>0.1111111111111111</v>
      </c>
      <c r="H11" s="467">
        <f t="shared" si="4"/>
        <v>3689.3997288669957</v>
      </c>
      <c r="I11" s="467">
        <f t="shared" si="1"/>
        <v>24329.399728866996</v>
      </c>
      <c r="J11" s="467">
        <f>I11/C11</f>
        <v>188.59999789819378</v>
      </c>
      <c r="K11" s="468">
        <v>188.6</v>
      </c>
      <c r="L11" s="317">
        <f t="shared" si="5"/>
        <v>24329.399999999998</v>
      </c>
      <c r="M11" s="302">
        <f t="shared" si="2"/>
        <v>24329.399999999998</v>
      </c>
    </row>
    <row r="12" spans="1:13" s="414" customFormat="1" ht="12" hidden="1" customHeight="1" x14ac:dyDescent="0.25">
      <c r="A12" s="466">
        <v>4</v>
      </c>
      <c r="B12" s="466"/>
      <c r="C12" s="420">
        <v>0</v>
      </c>
      <c r="D12" s="419"/>
      <c r="E12" s="419">
        <v>0</v>
      </c>
      <c r="F12" s="419">
        <f t="shared" si="3"/>
        <v>0</v>
      </c>
      <c r="G12" s="415">
        <f t="shared" si="0"/>
        <v>0</v>
      </c>
      <c r="H12" s="467">
        <f t="shared" si="4"/>
        <v>0</v>
      </c>
      <c r="I12" s="467">
        <f t="shared" si="1"/>
        <v>0</v>
      </c>
      <c r="J12" s="467"/>
      <c r="K12" s="468"/>
      <c r="L12" s="317">
        <f t="shared" si="5"/>
        <v>0</v>
      </c>
      <c r="M12" s="302">
        <f t="shared" si="2"/>
        <v>0</v>
      </c>
    </row>
    <row r="13" spans="1:13" s="414" customFormat="1" ht="12" hidden="1" customHeight="1" x14ac:dyDescent="0.25">
      <c r="A13" s="466">
        <v>5</v>
      </c>
      <c r="B13" s="466"/>
      <c r="C13" s="421">
        <v>0</v>
      </c>
      <c r="D13" s="419"/>
      <c r="E13" s="419">
        <v>0</v>
      </c>
      <c r="F13" s="419">
        <f t="shared" si="3"/>
        <v>0</v>
      </c>
      <c r="G13" s="415">
        <f t="shared" si="0"/>
        <v>0</v>
      </c>
      <c r="H13" s="467">
        <f t="shared" si="4"/>
        <v>0</v>
      </c>
      <c r="I13" s="467">
        <f t="shared" si="1"/>
        <v>0</v>
      </c>
      <c r="J13" s="467"/>
      <c r="K13" s="468"/>
      <c r="L13" s="317">
        <f t="shared" si="5"/>
        <v>0</v>
      </c>
      <c r="M13" s="302">
        <f t="shared" si="2"/>
        <v>0</v>
      </c>
    </row>
    <row r="14" spans="1:13" s="414" customFormat="1" ht="12" hidden="1" customHeight="1" x14ac:dyDescent="0.25">
      <c r="A14" s="466">
        <v>6</v>
      </c>
      <c r="B14" s="466"/>
      <c r="C14" s="420"/>
      <c r="D14" s="419"/>
      <c r="E14" s="419"/>
      <c r="F14" s="419">
        <f>C14*E14</f>
        <v>0</v>
      </c>
      <c r="G14" s="415">
        <f t="shared" si="0"/>
        <v>0</v>
      </c>
      <c r="H14" s="467">
        <f t="shared" si="4"/>
        <v>0</v>
      </c>
      <c r="I14" s="467">
        <f t="shared" si="1"/>
        <v>0</v>
      </c>
      <c r="J14" s="467"/>
      <c r="K14" s="468"/>
      <c r="L14" s="317">
        <f t="shared" si="5"/>
        <v>0</v>
      </c>
      <c r="M14" s="302">
        <f t="shared" si="2"/>
        <v>0</v>
      </c>
    </row>
    <row r="15" spans="1:13" s="414" customFormat="1" ht="12" hidden="1" customHeight="1" x14ac:dyDescent="0.25">
      <c r="A15" s="817">
        <v>7</v>
      </c>
      <c r="B15" s="817"/>
      <c r="C15" s="420"/>
      <c r="D15" s="419"/>
      <c r="E15" s="419"/>
      <c r="F15" s="419">
        <f t="shared" si="3"/>
        <v>0</v>
      </c>
      <c r="G15" s="415">
        <f t="shared" si="0"/>
        <v>0</v>
      </c>
      <c r="H15" s="467">
        <f t="shared" si="4"/>
        <v>0</v>
      </c>
      <c r="I15" s="467">
        <f t="shared" si="1"/>
        <v>0</v>
      </c>
      <c r="J15" s="467"/>
      <c r="K15" s="468"/>
      <c r="L15" s="317">
        <f t="shared" si="5"/>
        <v>0</v>
      </c>
      <c r="M15" s="302">
        <f t="shared" si="2"/>
        <v>0</v>
      </c>
    </row>
    <row r="16" spans="1:13" s="414" customFormat="1" ht="12" hidden="1" customHeight="1" x14ac:dyDescent="0.25">
      <c r="A16" s="817">
        <v>8</v>
      </c>
      <c r="B16" s="817"/>
      <c r="C16" s="420"/>
      <c r="D16" s="419"/>
      <c r="E16" s="419"/>
      <c r="F16" s="419">
        <f t="shared" si="3"/>
        <v>0</v>
      </c>
      <c r="G16" s="415">
        <f t="shared" si="0"/>
        <v>0</v>
      </c>
      <c r="H16" s="467">
        <f t="shared" si="4"/>
        <v>0</v>
      </c>
      <c r="I16" s="467">
        <f t="shared" si="1"/>
        <v>0</v>
      </c>
      <c r="J16" s="467"/>
      <c r="K16" s="468"/>
      <c r="L16" s="317">
        <f t="shared" si="5"/>
        <v>0</v>
      </c>
      <c r="M16" s="302">
        <f t="shared" si="2"/>
        <v>0</v>
      </c>
    </row>
    <row r="17" spans="1:14" s="414" customFormat="1" ht="12" hidden="1" customHeight="1" x14ac:dyDescent="0.25">
      <c r="A17" s="817">
        <v>9</v>
      </c>
      <c r="B17" s="817"/>
      <c r="C17" s="420"/>
      <c r="D17" s="419"/>
      <c r="E17" s="419"/>
      <c r="F17" s="419">
        <f t="shared" si="3"/>
        <v>0</v>
      </c>
      <c r="G17" s="415">
        <f t="shared" si="0"/>
        <v>0</v>
      </c>
      <c r="H17" s="467">
        <f t="shared" si="4"/>
        <v>0</v>
      </c>
      <c r="I17" s="467">
        <f t="shared" si="1"/>
        <v>0</v>
      </c>
      <c r="J17" s="467"/>
      <c r="K17" s="468"/>
      <c r="L17" s="317">
        <f t="shared" si="5"/>
        <v>0</v>
      </c>
      <c r="M17" s="302">
        <f t="shared" si="2"/>
        <v>0</v>
      </c>
    </row>
    <row r="18" spans="1:14" s="414" customFormat="1" ht="9.9499999999999993" customHeight="1" thickBot="1" x14ac:dyDescent="0.25">
      <c r="A18" s="818" t="s">
        <v>8</v>
      </c>
      <c r="B18" s="818"/>
      <c r="C18" s="415"/>
      <c r="D18" s="419">
        <f>SUM(D9:D17)</f>
        <v>0</v>
      </c>
      <c r="E18" s="419"/>
      <c r="F18" s="419">
        <f>SUM(F9:F17)</f>
        <v>185760</v>
      </c>
      <c r="G18" s="469">
        <f>SUM(G9:G17)</f>
        <v>1</v>
      </c>
      <c r="H18" s="467">
        <f>SUM(H9:H17)</f>
        <v>33204.597559802962</v>
      </c>
      <c r="I18" s="470">
        <f t="shared" si="1"/>
        <v>218964.59755980296</v>
      </c>
      <c r="J18" s="467"/>
      <c r="K18" s="471"/>
      <c r="L18" s="397">
        <f>SUM(L9:L17)</f>
        <v>218964.5984824959</v>
      </c>
      <c r="M18" s="398">
        <f>SUM(M9:M17)</f>
        <v>218964.59999999998</v>
      </c>
      <c r="N18" s="422">
        <f>L18-M18</f>
        <v>-1.5175040753092617E-3</v>
      </c>
    </row>
    <row r="19" spans="1:14" s="414" customFormat="1" hidden="1" x14ac:dyDescent="0.25">
      <c r="A19" s="423"/>
      <c r="B19" s="424"/>
      <c r="C19" s="425"/>
      <c r="D19" s="425"/>
      <c r="E19" s="426"/>
      <c r="F19" s="426"/>
      <c r="G19" s="427"/>
      <c r="H19" s="428"/>
      <c r="I19" s="427"/>
      <c r="J19" s="427"/>
      <c r="K19" s="194"/>
      <c r="L19" s="194"/>
      <c r="M19" s="194"/>
    </row>
    <row r="20" spans="1:14" s="414" customFormat="1" hidden="1" x14ac:dyDescent="0.25">
      <c r="A20" s="429" t="s">
        <v>49</v>
      </c>
      <c r="B20" s="430"/>
      <c r="C20" s="396"/>
      <c r="D20" s="396"/>
      <c r="E20" s="415"/>
      <c r="F20" s="419">
        <v>0</v>
      </c>
      <c r="G20" s="415"/>
      <c r="H20" s="428"/>
      <c r="I20" s="415"/>
      <c r="J20" s="415"/>
      <c r="K20" s="194"/>
      <c r="L20" s="194"/>
      <c r="M20" s="194"/>
    </row>
    <row r="21" spans="1:14" s="414" customFormat="1" hidden="1" x14ac:dyDescent="0.25">
      <c r="A21" s="429" t="s">
        <v>50</v>
      </c>
      <c r="B21" s="430"/>
      <c r="C21" s="396"/>
      <c r="D21" s="396"/>
      <c r="E21" s="415">
        <f>SUM(E20)</f>
        <v>0</v>
      </c>
      <c r="F21" s="419"/>
      <c r="G21" s="415"/>
      <c r="H21" s="428"/>
      <c r="I21" s="415"/>
      <c r="J21" s="415"/>
      <c r="K21" s="194"/>
      <c r="L21" s="194"/>
      <c r="M21" s="194"/>
    </row>
    <row r="22" spans="1:14" s="414" customFormat="1" hidden="1" x14ac:dyDescent="0.25">
      <c r="A22" s="429"/>
      <c r="B22" s="430"/>
      <c r="C22" s="396"/>
      <c r="D22" s="396"/>
      <c r="E22" s="415"/>
      <c r="F22" s="419"/>
      <c r="G22" s="415"/>
      <c r="H22" s="428"/>
      <c r="I22" s="415"/>
      <c r="J22" s="415"/>
      <c r="K22" s="194"/>
      <c r="L22" s="194"/>
      <c r="M22" s="194"/>
    </row>
    <row r="23" spans="1:14" s="414" customFormat="1" hidden="1" x14ac:dyDescent="0.25">
      <c r="A23" s="429" t="s">
        <v>51</v>
      </c>
      <c r="B23" s="430"/>
      <c r="C23" s="396"/>
      <c r="D23" s="396"/>
      <c r="E23" s="415"/>
      <c r="F23" s="419">
        <v>0</v>
      </c>
      <c r="G23" s="415"/>
      <c r="H23" s="428"/>
      <c r="I23" s="415"/>
      <c r="J23" s="415"/>
      <c r="K23" s="194"/>
      <c r="L23" s="194"/>
      <c r="M23" s="194"/>
    </row>
    <row r="24" spans="1:14" s="414" customFormat="1" hidden="1" x14ac:dyDescent="0.25">
      <c r="A24" s="817" t="s">
        <v>52</v>
      </c>
      <c r="B24" s="817"/>
      <c r="C24" s="396"/>
      <c r="D24" s="396"/>
      <c r="E24" s="415">
        <f>SUM(E23)</f>
        <v>0</v>
      </c>
      <c r="F24" s="419"/>
      <c r="G24" s="415" t="e">
        <f>G18+#REF!</f>
        <v>#REF!</v>
      </c>
      <c r="H24" s="428"/>
      <c r="I24" s="415"/>
      <c r="J24" s="415"/>
      <c r="K24" s="194"/>
      <c r="L24" s="194"/>
      <c r="M24" s="194"/>
    </row>
    <row r="25" spans="1:14" s="414" customFormat="1" hidden="1" x14ac:dyDescent="0.25">
      <c r="A25" s="429"/>
      <c r="B25" s="430"/>
      <c r="C25" s="396"/>
      <c r="D25" s="396"/>
      <c r="E25" s="415"/>
      <c r="F25" s="419"/>
      <c r="G25" s="415"/>
      <c r="H25" s="428"/>
      <c r="I25" s="415"/>
      <c r="J25" s="415"/>
      <c r="K25" s="194"/>
      <c r="L25" s="194"/>
      <c r="M25" s="194"/>
    </row>
    <row r="26" spans="1:14" hidden="1" x14ac:dyDescent="0.2">
      <c r="A26" s="818"/>
      <c r="B26" s="818"/>
      <c r="C26" s="431"/>
      <c r="D26" s="431"/>
      <c r="E26" s="432"/>
      <c r="F26" s="433"/>
      <c r="G26" s="415"/>
      <c r="H26" s="416"/>
      <c r="I26" s="415"/>
      <c r="J26" s="415"/>
    </row>
    <row r="27" spans="1:14" hidden="1" x14ac:dyDescent="0.2">
      <c r="A27" s="818" t="s">
        <v>8</v>
      </c>
      <c r="B27" s="818"/>
      <c r="C27" s="431"/>
      <c r="D27" s="431"/>
      <c r="E27" s="432"/>
      <c r="F27" s="433"/>
      <c r="G27" s="189"/>
      <c r="H27" s="189"/>
      <c r="I27" s="434"/>
      <c r="J27" s="434"/>
    </row>
    <row r="28" spans="1:14" ht="13.5" customHeight="1" x14ac:dyDescent="0.2">
      <c r="A28" s="435"/>
      <c r="B28" s="435"/>
      <c r="C28" s="436"/>
      <c r="D28" s="436"/>
      <c r="I28" s="433"/>
      <c r="J28" s="433"/>
    </row>
    <row r="29" spans="1:14" ht="12" customHeight="1" x14ac:dyDescent="0.2">
      <c r="A29" s="439"/>
      <c r="B29" s="440" t="s">
        <v>9</v>
      </c>
      <c r="C29" s="440"/>
      <c r="D29" s="440"/>
      <c r="E29" s="441" t="s">
        <v>10</v>
      </c>
      <c r="F29" s="442" t="s">
        <v>144</v>
      </c>
    </row>
    <row r="30" spans="1:14" ht="9.9499999999999993" customHeight="1" x14ac:dyDescent="0.2">
      <c r="A30" s="439" t="s">
        <v>12</v>
      </c>
      <c r="B30" s="439"/>
      <c r="C30" s="443"/>
      <c r="D30" s="443"/>
      <c r="E30" s="444" t="s">
        <v>13</v>
      </c>
      <c r="F30" s="445" t="s">
        <v>13</v>
      </c>
    </row>
    <row r="31" spans="1:14" ht="9.9499999999999993" customHeight="1" x14ac:dyDescent="0.2">
      <c r="A31" s="439" t="s">
        <v>54</v>
      </c>
      <c r="B31" s="446">
        <v>0.03</v>
      </c>
      <c r="C31" s="447"/>
      <c r="D31" s="447"/>
      <c r="E31" s="433">
        <f>F31</f>
        <v>5572.8</v>
      </c>
      <c r="F31" s="433">
        <f>B31*F18</f>
        <v>5572.8</v>
      </c>
      <c r="H31" s="448"/>
      <c r="I31" s="448"/>
      <c r="J31" s="448"/>
      <c r="K31" s="449"/>
    </row>
    <row r="32" spans="1:14" ht="9.9499999999999993" customHeight="1" x14ac:dyDescent="0.2">
      <c r="A32" s="439" t="s">
        <v>15</v>
      </c>
      <c r="B32" s="450">
        <v>1.6788113E-2</v>
      </c>
      <c r="C32" s="443"/>
      <c r="D32" s="443"/>
      <c r="E32" s="433">
        <f>B32*F18</f>
        <v>3118.5598708800003</v>
      </c>
      <c r="F32" s="433">
        <f>B32*F18</f>
        <v>3118.5598708800003</v>
      </c>
      <c r="H32" s="451"/>
      <c r="I32" s="451"/>
      <c r="J32" s="451"/>
      <c r="K32" s="449"/>
    </row>
    <row r="33" spans="1:13" ht="9.9499999999999993" customHeight="1" x14ac:dyDescent="0.2">
      <c r="A33" s="439" t="s">
        <v>55</v>
      </c>
      <c r="B33" s="446">
        <v>0.03</v>
      </c>
      <c r="C33" s="447"/>
      <c r="D33" s="447"/>
      <c r="E33" s="433">
        <f>B33*F18</f>
        <v>5572.8</v>
      </c>
      <c r="F33" s="433">
        <f>(F18)*B33</f>
        <v>5572.8</v>
      </c>
      <c r="G33" s="452"/>
      <c r="H33" s="453"/>
      <c r="I33" s="454"/>
      <c r="J33" s="454"/>
      <c r="L33" s="449"/>
      <c r="M33" s="449"/>
    </row>
    <row r="34" spans="1:13" ht="9.9499999999999993" customHeight="1" x14ac:dyDescent="0.2">
      <c r="A34" s="439" t="s">
        <v>17</v>
      </c>
      <c r="B34" s="443"/>
      <c r="C34" s="443"/>
      <c r="D34" s="443"/>
      <c r="E34" s="433">
        <f>SUM(E31:E33)</f>
        <v>14264.159870880001</v>
      </c>
      <c r="F34" s="433">
        <f>SUM(F31:F33)</f>
        <v>14264.159870880001</v>
      </c>
      <c r="I34" s="449"/>
      <c r="L34" s="449"/>
      <c r="M34" s="449"/>
    </row>
    <row r="35" spans="1:13" ht="5.0999999999999996" customHeight="1" x14ac:dyDescent="0.2">
      <c r="A35" s="439"/>
      <c r="B35" s="443"/>
      <c r="C35" s="443"/>
      <c r="D35" s="443"/>
      <c r="E35" s="433"/>
      <c r="F35" s="433"/>
    </row>
    <row r="36" spans="1:13" ht="9.9499999999999993" customHeight="1" x14ac:dyDescent="0.2">
      <c r="A36" s="439" t="s">
        <v>18</v>
      </c>
      <c r="B36" s="443"/>
      <c r="C36" s="443"/>
      <c r="D36" s="443"/>
      <c r="E36" s="445" t="s">
        <v>13</v>
      </c>
      <c r="F36" s="433"/>
    </row>
    <row r="37" spans="1:13" ht="9.9499999999999993" customHeight="1" x14ac:dyDescent="0.2">
      <c r="A37" s="439" t="s">
        <v>19</v>
      </c>
      <c r="B37" s="446">
        <v>6.4999999999999997E-3</v>
      </c>
      <c r="C37" s="446"/>
      <c r="D37" s="446"/>
      <c r="E37" s="433">
        <f>F37</f>
        <v>1423.2698841387194</v>
      </c>
      <c r="F37" s="433">
        <f>B37*$E$46</f>
        <v>1423.2698841387194</v>
      </c>
    </row>
    <row r="38" spans="1:13" ht="9.9499999999999993" customHeight="1" x14ac:dyDescent="0.2">
      <c r="A38" s="439" t="s">
        <v>20</v>
      </c>
      <c r="B38" s="446">
        <v>0.03</v>
      </c>
      <c r="C38" s="455"/>
      <c r="D38" s="455"/>
      <c r="E38" s="433">
        <f t="shared" ref="E38:E39" si="6">F38</f>
        <v>6568.9379267940894</v>
      </c>
      <c r="F38" s="433">
        <f>B38*$E$46</f>
        <v>6568.9379267940894</v>
      </c>
    </row>
    <row r="39" spans="1:13" ht="9.9499999999999993" customHeight="1" x14ac:dyDescent="0.2">
      <c r="A39" s="439" t="s">
        <v>21</v>
      </c>
      <c r="B39" s="446">
        <v>0.05</v>
      </c>
      <c r="C39" s="455"/>
      <c r="D39" s="455"/>
      <c r="E39" s="433">
        <f t="shared" si="6"/>
        <v>10948.22987799015</v>
      </c>
      <c r="F39" s="433">
        <f t="shared" ref="F39" si="7">B39*$E$46</f>
        <v>10948.22987799015</v>
      </c>
    </row>
    <row r="40" spans="1:13" ht="9.9499999999999993" customHeight="1" x14ac:dyDescent="0.2">
      <c r="A40" s="439" t="s">
        <v>17</v>
      </c>
      <c r="B40" s="446">
        <f>SUM(B37:B39)</f>
        <v>8.6499999999999994E-2</v>
      </c>
      <c r="C40" s="446"/>
      <c r="D40" s="446"/>
      <c r="E40" s="433">
        <f>SUM(E37:E39)</f>
        <v>18940.437688922961</v>
      </c>
      <c r="F40" s="433">
        <f>SUM(F37:F39)</f>
        <v>18940.437688922961</v>
      </c>
      <c r="H40" s="453">
        <f>F34+F40</f>
        <v>33204.597559802962</v>
      </c>
    </row>
    <row r="41" spans="1:13" hidden="1" x14ac:dyDescent="0.2">
      <c r="A41" s="439" t="s">
        <v>155</v>
      </c>
      <c r="B41" s="446">
        <v>0</v>
      </c>
      <c r="C41" s="446"/>
      <c r="D41" s="446"/>
      <c r="E41" s="433">
        <v>0</v>
      </c>
      <c r="F41" s="433"/>
      <c r="L41" s="230" t="e">
        <f>L39/L40</f>
        <v>#DIV/0!</v>
      </c>
      <c r="M41" s="230"/>
    </row>
    <row r="42" spans="1:13" hidden="1" x14ac:dyDescent="0.2">
      <c r="A42" s="439" t="s">
        <v>156</v>
      </c>
      <c r="B42" s="446">
        <v>0</v>
      </c>
      <c r="C42" s="446"/>
      <c r="D42" s="446"/>
      <c r="E42" s="433">
        <v>0</v>
      </c>
      <c r="F42" s="433"/>
    </row>
    <row r="43" spans="1:13" hidden="1" x14ac:dyDescent="0.2">
      <c r="A43" s="819" t="s">
        <v>58</v>
      </c>
      <c r="B43" s="819"/>
      <c r="C43" s="436"/>
      <c r="D43" s="436"/>
      <c r="E43" s="456">
        <f>F18+E34</f>
        <v>200024.15987088002</v>
      </c>
    </row>
    <row r="44" spans="1:13" hidden="1" x14ac:dyDescent="0.2">
      <c r="A44" s="814" t="s">
        <v>59</v>
      </c>
      <c r="B44" s="814"/>
      <c r="C44" s="443"/>
      <c r="D44" s="443"/>
      <c r="E44" s="457">
        <f>F18+F34</f>
        <v>200024.15987088002</v>
      </c>
      <c r="G44" s="438">
        <f>E48*2%</f>
        <v>4379.291951196059</v>
      </c>
      <c r="I44" s="438">
        <f>E39/E48%</f>
        <v>5.0000000000000009</v>
      </c>
    </row>
    <row r="45" spans="1:13" hidden="1" x14ac:dyDescent="0.2">
      <c r="A45" s="458"/>
      <c r="B45" s="458"/>
      <c r="C45" s="443"/>
      <c r="D45" s="443"/>
      <c r="E45" s="457">
        <f>E43/(1-B40)</f>
        <v>218964.59755980299</v>
      </c>
    </row>
    <row r="46" spans="1:13" hidden="1" x14ac:dyDescent="0.2">
      <c r="A46" s="814" t="s">
        <v>60</v>
      </c>
      <c r="B46" s="814"/>
      <c r="C46" s="443"/>
      <c r="D46" s="443"/>
      <c r="E46" s="457">
        <f>E44/(1-B40)</f>
        <v>218964.59755980299</v>
      </c>
    </row>
    <row r="47" spans="1:13" s="459" customFormat="1" x14ac:dyDescent="0.2">
      <c r="A47" s="815" t="s">
        <v>24</v>
      </c>
      <c r="B47" s="815"/>
      <c r="C47" s="443"/>
      <c r="D47" s="443"/>
      <c r="E47" s="445" t="s">
        <v>10</v>
      </c>
      <c r="F47" s="442" t="s">
        <v>144</v>
      </c>
      <c r="H47" s="460"/>
      <c r="I47" s="460"/>
      <c r="J47" s="461" t="s">
        <v>25</v>
      </c>
      <c r="K47" s="232"/>
      <c r="L47" s="232"/>
      <c r="M47" s="232"/>
    </row>
    <row r="48" spans="1:13" x14ac:dyDescent="0.2">
      <c r="A48" s="815" t="s">
        <v>26</v>
      </c>
      <c r="B48" s="815"/>
      <c r="C48" s="443"/>
      <c r="D48" s="443"/>
      <c r="E48" s="433">
        <f>E34+E40+F18</f>
        <v>218964.59755980296</v>
      </c>
      <c r="F48" s="433">
        <f>F18+F34+F40</f>
        <v>218964.59755980299</v>
      </c>
      <c r="G48" s="411"/>
      <c r="J48" s="462">
        <f>F48-E48</f>
        <v>0</v>
      </c>
    </row>
    <row r="49" spans="1:13" x14ac:dyDescent="0.2">
      <c r="A49" s="815" t="s">
        <v>27</v>
      </c>
      <c r="B49" s="815"/>
      <c r="C49" s="431"/>
      <c r="D49" s="431"/>
      <c r="E49" s="433">
        <f>E48*12+0.03</f>
        <v>2627575.2007176355</v>
      </c>
      <c r="F49" s="433">
        <f>F48*12+0.03</f>
        <v>2627575.2007176359</v>
      </c>
      <c r="G49" s="411"/>
      <c r="J49" s="462">
        <f>F49-E49</f>
        <v>0</v>
      </c>
    </row>
    <row r="50" spans="1:13" ht="33.75" customHeight="1" x14ac:dyDescent="0.15">
      <c r="A50" s="816"/>
      <c r="B50" s="816"/>
      <c r="C50" s="816"/>
      <c r="D50" s="816"/>
      <c r="E50" s="816"/>
      <c r="F50" s="816"/>
      <c r="G50" s="816"/>
      <c r="H50" s="816"/>
      <c r="I50" s="816"/>
      <c r="J50" s="816"/>
      <c r="K50" s="816"/>
      <c r="L50" s="816"/>
    </row>
    <row r="51" spans="1:13" x14ac:dyDescent="0.2">
      <c r="A51" s="463"/>
      <c r="B51" s="463"/>
      <c r="C51" s="436"/>
      <c r="D51" s="436"/>
      <c r="E51" s="438"/>
    </row>
    <row r="52" spans="1:13" x14ac:dyDescent="0.2">
      <c r="E52" s="460">
        <f>E53-E48</f>
        <v>-88214.597559802962</v>
      </c>
      <c r="G52" s="460"/>
      <c r="H52" s="460"/>
      <c r="I52" s="460"/>
      <c r="J52" s="460"/>
    </row>
    <row r="53" spans="1:13" x14ac:dyDescent="0.2">
      <c r="E53" s="438">
        <v>130750</v>
      </c>
    </row>
    <row r="54" spans="1:13" x14ac:dyDescent="0.2">
      <c r="E54" s="438"/>
      <c r="G54" s="438">
        <v>10880.85</v>
      </c>
    </row>
    <row r="55" spans="1:13" x14ac:dyDescent="0.2">
      <c r="A55" s="411"/>
      <c r="B55" s="411"/>
      <c r="C55" s="411"/>
      <c r="D55" s="411"/>
      <c r="E55" s="438"/>
      <c r="G55" s="438">
        <v>21776.77</v>
      </c>
      <c r="H55" s="411"/>
      <c r="I55" s="411"/>
      <c r="J55" s="411"/>
      <c r="K55" s="411"/>
      <c r="L55" s="411"/>
      <c r="M55" s="411"/>
    </row>
    <row r="56" spans="1:13" x14ac:dyDescent="0.2">
      <c r="A56" s="411"/>
      <c r="B56" s="411"/>
      <c r="C56" s="411"/>
      <c r="D56" s="411"/>
      <c r="E56" s="438"/>
      <c r="G56" s="438">
        <v>45140.71</v>
      </c>
      <c r="H56" s="411"/>
      <c r="I56" s="411"/>
      <c r="J56" s="411"/>
      <c r="K56" s="411"/>
      <c r="L56" s="411"/>
      <c r="M56" s="411"/>
    </row>
    <row r="57" spans="1:13" x14ac:dyDescent="0.2">
      <c r="A57" s="411"/>
      <c r="B57" s="411"/>
      <c r="C57" s="411"/>
      <c r="D57" s="411"/>
      <c r="E57" s="438"/>
      <c r="G57" s="438">
        <v>25176.81</v>
      </c>
      <c r="H57" s="411"/>
      <c r="I57" s="411"/>
      <c r="J57" s="411"/>
      <c r="K57" s="411"/>
      <c r="L57" s="411"/>
      <c r="M57" s="411"/>
    </row>
    <row r="58" spans="1:13" x14ac:dyDescent="0.2">
      <c r="A58" s="411"/>
      <c r="B58" s="411"/>
      <c r="C58" s="411"/>
      <c r="D58" s="411"/>
      <c r="G58" s="438">
        <f>SUM(G54:G57)</f>
        <v>102975.14</v>
      </c>
      <c r="H58" s="411"/>
      <c r="I58" s="411"/>
      <c r="J58" s="411"/>
      <c r="K58" s="411"/>
      <c r="L58" s="411"/>
      <c r="M58" s="411"/>
    </row>
  </sheetData>
  <mergeCells count="20">
    <mergeCell ref="A7:B7"/>
    <mergeCell ref="A1:F1"/>
    <mergeCell ref="A2:B2"/>
    <mergeCell ref="A4:B4"/>
    <mergeCell ref="A5:B5"/>
    <mergeCell ref="A6:B6"/>
    <mergeCell ref="A44:B44"/>
    <mergeCell ref="A15:B15"/>
    <mergeCell ref="A16:B16"/>
    <mergeCell ref="A17:B17"/>
    <mergeCell ref="A18:B18"/>
    <mergeCell ref="A24:B24"/>
    <mergeCell ref="A26:B26"/>
    <mergeCell ref="A27:B27"/>
    <mergeCell ref="A43:B43"/>
    <mergeCell ref="A46:B46"/>
    <mergeCell ref="A47:B47"/>
    <mergeCell ref="A48:B48"/>
    <mergeCell ref="A49:B49"/>
    <mergeCell ref="A50:L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4" tint="0.59999389629810485"/>
  </sheetPr>
  <dimension ref="A1:N58"/>
  <sheetViews>
    <sheetView zoomScale="180" zoomScaleNormal="18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0.85546875" style="238" customWidth="1"/>
    <col min="6" max="6" width="11.28515625" style="224" customWidth="1"/>
    <col min="7" max="7" width="8.42578125" style="224" hidden="1" customWidth="1"/>
    <col min="8" max="8" width="10.42578125" style="224" hidden="1" customWidth="1"/>
    <col min="9" max="9" width="10" style="224" hidden="1" customWidth="1"/>
    <col min="10" max="10" width="7.71093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11.140625" style="312" bestFit="1" customWidth="1"/>
    <col min="15" max="16384" width="9.140625" style="190"/>
  </cols>
  <sheetData>
    <row r="1" spans="1:14" ht="16.5" thickBot="1" x14ac:dyDescent="0.3">
      <c r="A1" s="805" t="s">
        <v>206</v>
      </c>
      <c r="B1" s="805"/>
      <c r="C1" s="805"/>
      <c r="D1" s="805"/>
      <c r="E1" s="805"/>
      <c r="F1" s="805"/>
      <c r="G1" s="390"/>
      <c r="H1" s="390"/>
      <c r="I1" s="390"/>
      <c r="J1" s="390"/>
    </row>
    <row r="2" spans="1:14" s="196" customFormat="1" ht="75" customHeight="1" x14ac:dyDescent="0.25">
      <c r="A2" s="801" t="s">
        <v>28</v>
      </c>
      <c r="B2" s="801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199" t="s">
        <v>197</v>
      </c>
      <c r="I2" s="199" t="s">
        <v>199</v>
      </c>
      <c r="J2" s="199" t="s">
        <v>201</v>
      </c>
      <c r="K2" s="199" t="s">
        <v>194</v>
      </c>
      <c r="L2" s="392" t="s">
        <v>200</v>
      </c>
      <c r="M2" s="393" t="s">
        <v>198</v>
      </c>
      <c r="N2" s="321"/>
    </row>
    <row r="3" spans="1:14" s="196" customFormat="1" hidden="1" x14ac:dyDescent="0.25">
      <c r="A3" s="372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L3" s="394"/>
      <c r="M3" s="395"/>
      <c r="N3" s="321"/>
    </row>
    <row r="4" spans="1:14" s="196" customFormat="1" hidden="1" x14ac:dyDescent="0.25">
      <c r="A4" s="781" t="s">
        <v>34</v>
      </c>
      <c r="B4" s="781"/>
      <c r="C4" s="300"/>
      <c r="D4" s="170"/>
      <c r="E4" s="170"/>
      <c r="F4" s="199"/>
      <c r="G4" s="170"/>
      <c r="H4" s="170"/>
      <c r="I4" s="170"/>
      <c r="J4" s="170"/>
      <c r="K4" s="302"/>
      <c r="L4" s="394"/>
      <c r="M4" s="395"/>
      <c r="N4" s="321"/>
    </row>
    <row r="5" spans="1:14" s="196" customFormat="1" hidden="1" x14ac:dyDescent="0.25">
      <c r="A5" s="781" t="s">
        <v>35</v>
      </c>
      <c r="B5" s="781"/>
      <c r="C5" s="300"/>
      <c r="D5" s="170"/>
      <c r="E5" s="170"/>
      <c r="F5" s="199"/>
      <c r="G5" s="170"/>
      <c r="H5" s="170"/>
      <c r="I5" s="170"/>
      <c r="J5" s="170"/>
      <c r="K5" s="302"/>
      <c r="L5" s="394"/>
      <c r="M5" s="395"/>
      <c r="N5" s="321"/>
    </row>
    <row r="6" spans="1:14" s="196" customFormat="1" hidden="1" x14ac:dyDescent="0.25">
      <c r="A6" s="781" t="s">
        <v>36</v>
      </c>
      <c r="B6" s="781"/>
      <c r="C6" s="300"/>
      <c r="D6" s="170"/>
      <c r="E6" s="170"/>
      <c r="F6" s="199"/>
      <c r="G6" s="170"/>
      <c r="H6" s="170"/>
      <c r="I6" s="170"/>
      <c r="J6" s="170"/>
      <c r="K6" s="302"/>
      <c r="L6" s="394"/>
      <c r="M6" s="395"/>
      <c r="N6" s="321"/>
    </row>
    <row r="7" spans="1:14" s="196" customFormat="1" hidden="1" x14ac:dyDescent="0.25">
      <c r="A7" s="791" t="s">
        <v>37</v>
      </c>
      <c r="B7" s="791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L7" s="394"/>
      <c r="M7" s="395"/>
      <c r="N7" s="321"/>
    </row>
    <row r="8" spans="1:14" s="19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L8" s="394"/>
      <c r="M8" s="395"/>
      <c r="N8" s="321"/>
    </row>
    <row r="9" spans="1:14" s="196" customFormat="1" ht="9.9499999999999993" customHeight="1" x14ac:dyDescent="0.15">
      <c r="A9" s="472" t="s">
        <v>226</v>
      </c>
      <c r="B9" s="370"/>
      <c r="C9" s="353">
        <v>1445</v>
      </c>
      <c r="D9" s="199"/>
      <c r="E9" s="199">
        <v>145</v>
      </c>
      <c r="F9" s="199">
        <f>C9*E9</f>
        <v>209525</v>
      </c>
      <c r="G9" s="170">
        <f>F9/$F$18</f>
        <v>0.61541737649063033</v>
      </c>
      <c r="H9" s="204">
        <f>G9*$H$40</f>
        <v>46095.553820691704</v>
      </c>
      <c r="I9" s="204">
        <f>H9+F9</f>
        <v>255620.55382069171</v>
      </c>
      <c r="J9" s="204">
        <f>I9/C9</f>
        <v>176.90003724615343</v>
      </c>
      <c r="K9" s="468">
        <v>176.9</v>
      </c>
      <c r="L9" s="317">
        <f>J9*C9</f>
        <v>255620.55382069171</v>
      </c>
      <c r="M9" s="302">
        <f>K9*C9</f>
        <v>255620.5</v>
      </c>
      <c r="N9" s="321"/>
    </row>
    <row r="10" spans="1:14" s="196" customFormat="1" ht="9.9499999999999993" customHeight="1" x14ac:dyDescent="0.15">
      <c r="A10" s="472" t="s">
        <v>227</v>
      </c>
      <c r="B10" s="370"/>
      <c r="C10" s="353">
        <v>516</v>
      </c>
      <c r="D10" s="199"/>
      <c r="E10" s="199">
        <v>145</v>
      </c>
      <c r="F10" s="199">
        <f t="shared" ref="F10:F17" si="0">C10*E10</f>
        <v>74820</v>
      </c>
      <c r="G10" s="170">
        <f t="shared" ref="G10:G17" si="1">F10/$F$18</f>
        <v>0.21976149914821125</v>
      </c>
      <c r="H10" s="204">
        <f t="shared" ref="H10:H17" si="2">G10*$H$40</f>
        <v>16460.41921901517</v>
      </c>
      <c r="I10" s="204">
        <f t="shared" ref="I10:I17" si="3">H10+F10</f>
        <v>91280.419219015166</v>
      </c>
      <c r="J10" s="204">
        <f t="shared" ref="J10:J13" si="4">I10/C10</f>
        <v>176.90003724615343</v>
      </c>
      <c r="K10" s="468">
        <v>176.9</v>
      </c>
      <c r="L10" s="317">
        <f>K10*C10</f>
        <v>91280.400000000009</v>
      </c>
      <c r="M10" s="302">
        <f t="shared" ref="M10:M17" si="5">K10*C10</f>
        <v>91280.400000000009</v>
      </c>
      <c r="N10" s="321"/>
    </row>
    <row r="11" spans="1:14" s="196" customFormat="1" ht="9.9499999999999993" customHeight="1" x14ac:dyDescent="0.15">
      <c r="A11" s="472" t="s">
        <v>228</v>
      </c>
      <c r="B11" s="370"/>
      <c r="C11" s="353">
        <v>129</v>
      </c>
      <c r="D11" s="199"/>
      <c r="E11" s="199">
        <v>145</v>
      </c>
      <c r="F11" s="199">
        <f t="shared" si="0"/>
        <v>18705</v>
      </c>
      <c r="G11" s="170">
        <f t="shared" si="1"/>
        <v>5.4940374787052812E-2</v>
      </c>
      <c r="H11" s="204">
        <f t="shared" si="2"/>
        <v>4115.1048047537925</v>
      </c>
      <c r="I11" s="204">
        <f t="shared" si="3"/>
        <v>22820.104804753792</v>
      </c>
      <c r="J11" s="204">
        <f t="shared" si="4"/>
        <v>176.90003724615343</v>
      </c>
      <c r="K11" s="468">
        <v>176.9</v>
      </c>
      <c r="L11" s="317">
        <f t="shared" ref="L11:L17" si="6">K11*C11</f>
        <v>22820.100000000002</v>
      </c>
      <c r="M11" s="302">
        <f t="shared" si="5"/>
        <v>22820.100000000002</v>
      </c>
      <c r="N11" s="321"/>
    </row>
    <row r="12" spans="1:14" s="196" customFormat="1" ht="9.9499999999999993" customHeight="1" x14ac:dyDescent="0.15">
      <c r="A12" s="472" t="s">
        <v>229</v>
      </c>
      <c r="B12" s="466"/>
      <c r="C12" s="353">
        <v>129</v>
      </c>
      <c r="D12" s="199"/>
      <c r="E12" s="199">
        <v>145</v>
      </c>
      <c r="F12" s="199">
        <f t="shared" si="0"/>
        <v>18705</v>
      </c>
      <c r="G12" s="170">
        <f t="shared" si="1"/>
        <v>5.4940374787052812E-2</v>
      </c>
      <c r="H12" s="204">
        <f t="shared" si="2"/>
        <v>4115.1048047537925</v>
      </c>
      <c r="I12" s="204">
        <f t="shared" si="3"/>
        <v>22820.104804753792</v>
      </c>
      <c r="J12" s="204">
        <f t="shared" si="4"/>
        <v>176.90003724615343</v>
      </c>
      <c r="K12" s="468">
        <v>176.9</v>
      </c>
      <c r="L12" s="317">
        <f t="shared" si="6"/>
        <v>22820.100000000002</v>
      </c>
      <c r="M12" s="302">
        <f t="shared" si="5"/>
        <v>22820.100000000002</v>
      </c>
      <c r="N12" s="321"/>
    </row>
    <row r="13" spans="1:14" s="196" customFormat="1" ht="9.9499999999999993" customHeight="1" x14ac:dyDescent="0.15">
      <c r="A13" s="472" t="s">
        <v>230</v>
      </c>
      <c r="B13" s="466"/>
      <c r="C13" s="354">
        <v>129</v>
      </c>
      <c r="D13" s="199"/>
      <c r="E13" s="199">
        <v>145</v>
      </c>
      <c r="F13" s="199">
        <f t="shared" si="0"/>
        <v>18705</v>
      </c>
      <c r="G13" s="170">
        <f t="shared" si="1"/>
        <v>5.4940374787052812E-2</v>
      </c>
      <c r="H13" s="204">
        <f t="shared" si="2"/>
        <v>4115.1048047537925</v>
      </c>
      <c r="I13" s="204">
        <f t="shared" si="3"/>
        <v>22820.104804753792</v>
      </c>
      <c r="J13" s="204">
        <f t="shared" si="4"/>
        <v>176.90003724615343</v>
      </c>
      <c r="K13" s="468">
        <v>176.9</v>
      </c>
      <c r="L13" s="317">
        <f>K13*C13</f>
        <v>22820.100000000002</v>
      </c>
      <c r="M13" s="302">
        <f t="shared" si="5"/>
        <v>22820.100000000002</v>
      </c>
      <c r="N13" s="321"/>
    </row>
    <row r="14" spans="1:14" s="196" customFormat="1" ht="9.9499999999999993" hidden="1" customHeight="1" x14ac:dyDescent="0.25">
      <c r="A14" s="372">
        <v>6</v>
      </c>
      <c r="B14" s="372"/>
      <c r="C14" s="353"/>
      <c r="D14" s="199"/>
      <c r="E14" s="199"/>
      <c r="F14" s="199">
        <f>C14*E14</f>
        <v>0</v>
      </c>
      <c r="G14" s="170">
        <f t="shared" si="1"/>
        <v>0</v>
      </c>
      <c r="H14" s="204">
        <f t="shared" si="2"/>
        <v>0</v>
      </c>
      <c r="I14" s="204">
        <f t="shared" si="3"/>
        <v>0</v>
      </c>
      <c r="J14" s="204"/>
      <c r="K14" s="468"/>
      <c r="L14" s="317">
        <f t="shared" si="6"/>
        <v>0</v>
      </c>
      <c r="M14" s="302">
        <f t="shared" si="5"/>
        <v>0</v>
      </c>
      <c r="N14" s="321"/>
    </row>
    <row r="15" spans="1:14" s="196" customFormat="1" ht="9.9499999999999993" hidden="1" customHeight="1" x14ac:dyDescent="0.25">
      <c r="A15" s="781">
        <v>7</v>
      </c>
      <c r="B15" s="781"/>
      <c r="C15" s="353"/>
      <c r="D15" s="199"/>
      <c r="E15" s="199"/>
      <c r="F15" s="199">
        <f t="shared" si="0"/>
        <v>0</v>
      </c>
      <c r="G15" s="170">
        <f t="shared" si="1"/>
        <v>0</v>
      </c>
      <c r="H15" s="204">
        <f t="shared" si="2"/>
        <v>0</v>
      </c>
      <c r="I15" s="204">
        <f t="shared" si="3"/>
        <v>0</v>
      </c>
      <c r="J15" s="204"/>
      <c r="K15" s="468"/>
      <c r="L15" s="317">
        <f t="shared" si="6"/>
        <v>0</v>
      </c>
      <c r="M15" s="302">
        <f t="shared" si="5"/>
        <v>0</v>
      </c>
      <c r="N15" s="321"/>
    </row>
    <row r="16" spans="1:14" s="196" customFormat="1" ht="9.9499999999999993" hidden="1" customHeight="1" x14ac:dyDescent="0.25">
      <c r="A16" s="781">
        <v>8</v>
      </c>
      <c r="B16" s="781"/>
      <c r="C16" s="353"/>
      <c r="D16" s="199"/>
      <c r="E16" s="199"/>
      <c r="F16" s="199">
        <f t="shared" si="0"/>
        <v>0</v>
      </c>
      <c r="G16" s="170">
        <f t="shared" si="1"/>
        <v>0</v>
      </c>
      <c r="H16" s="204">
        <f t="shared" si="2"/>
        <v>0</v>
      </c>
      <c r="I16" s="204">
        <f t="shared" si="3"/>
        <v>0</v>
      </c>
      <c r="J16" s="204"/>
      <c r="K16" s="468"/>
      <c r="L16" s="317">
        <f t="shared" si="6"/>
        <v>0</v>
      </c>
      <c r="M16" s="302">
        <f t="shared" si="5"/>
        <v>0</v>
      </c>
      <c r="N16" s="321"/>
    </row>
    <row r="17" spans="1:14" s="196" customFormat="1" ht="9.9499999999999993" hidden="1" customHeight="1" x14ac:dyDescent="0.25">
      <c r="A17" s="781">
        <v>9</v>
      </c>
      <c r="B17" s="781"/>
      <c r="C17" s="353"/>
      <c r="D17" s="199"/>
      <c r="E17" s="199"/>
      <c r="F17" s="199">
        <f t="shared" si="0"/>
        <v>0</v>
      </c>
      <c r="G17" s="170">
        <f t="shared" si="1"/>
        <v>0</v>
      </c>
      <c r="H17" s="204">
        <f t="shared" si="2"/>
        <v>0</v>
      </c>
      <c r="I17" s="204">
        <f t="shared" si="3"/>
        <v>0</v>
      </c>
      <c r="J17" s="204"/>
      <c r="K17" s="468"/>
      <c r="L17" s="317">
        <f t="shared" si="6"/>
        <v>0</v>
      </c>
      <c r="M17" s="302">
        <f t="shared" si="5"/>
        <v>0</v>
      </c>
      <c r="N17" s="321"/>
    </row>
    <row r="18" spans="1:14" s="196" customFormat="1" ht="9.9499999999999993" customHeight="1" thickBot="1" x14ac:dyDescent="0.25">
      <c r="A18" s="787" t="s">
        <v>8</v>
      </c>
      <c r="B18" s="787"/>
      <c r="C18" s="170"/>
      <c r="D18" s="199">
        <f>SUM(D9:D17)</f>
        <v>0</v>
      </c>
      <c r="E18" s="199"/>
      <c r="F18" s="199">
        <f>SUM(F9:F17)</f>
        <v>340460</v>
      </c>
      <c r="G18" s="473">
        <f>SUM(G9:G17)</f>
        <v>1</v>
      </c>
      <c r="H18" s="204">
        <f>SUM(H9:H17)</f>
        <v>74901.287453968253</v>
      </c>
      <c r="I18" s="384">
        <f>H18+F18</f>
        <v>415361.28745396825</v>
      </c>
      <c r="J18" s="204"/>
      <c r="K18" s="385"/>
      <c r="L18" s="397">
        <f>SUM(L9:L17)-0.04</f>
        <v>415361.21382069169</v>
      </c>
      <c r="M18" s="398">
        <f>SUM(M9:M17)</f>
        <v>415361.19999999995</v>
      </c>
      <c r="N18" s="399">
        <f>L18-M18</f>
        <v>1.3820691732689738E-2</v>
      </c>
    </row>
    <row r="19" spans="1:14" s="196" customFormat="1" hidden="1" x14ac:dyDescent="0.25">
      <c r="A19" s="355"/>
      <c r="B19" s="356"/>
      <c r="C19" s="357"/>
      <c r="D19" s="357"/>
      <c r="E19" s="358"/>
      <c r="F19" s="358"/>
      <c r="G19" s="359"/>
      <c r="H19" s="207"/>
      <c r="I19" s="359"/>
      <c r="J19" s="359"/>
      <c r="K19" s="400"/>
      <c r="L19" s="400"/>
      <c r="M19" s="400"/>
      <c r="N19" s="321"/>
    </row>
    <row r="20" spans="1:14" s="19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70"/>
      <c r="H20" s="207"/>
      <c r="I20" s="170"/>
      <c r="J20" s="170"/>
      <c r="K20" s="400"/>
      <c r="L20" s="400"/>
      <c r="M20" s="400"/>
      <c r="N20" s="321"/>
    </row>
    <row r="21" spans="1:14" s="19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70"/>
      <c r="H21" s="207"/>
      <c r="I21" s="170"/>
      <c r="J21" s="170"/>
      <c r="K21" s="400"/>
      <c r="L21" s="400"/>
      <c r="M21" s="400"/>
      <c r="N21" s="321"/>
    </row>
    <row r="22" spans="1:14" s="196" customFormat="1" hidden="1" x14ac:dyDescent="0.25">
      <c r="A22" s="314"/>
      <c r="B22" s="205"/>
      <c r="C22" s="198"/>
      <c r="D22" s="198"/>
      <c r="E22" s="170"/>
      <c r="F22" s="199"/>
      <c r="G22" s="170"/>
      <c r="H22" s="207"/>
      <c r="I22" s="170"/>
      <c r="J22" s="170"/>
      <c r="K22" s="400"/>
      <c r="L22" s="400"/>
      <c r="M22" s="400"/>
      <c r="N22" s="321"/>
    </row>
    <row r="23" spans="1:14" s="19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70"/>
      <c r="H23" s="207"/>
      <c r="I23" s="170"/>
      <c r="J23" s="170"/>
      <c r="K23" s="400"/>
      <c r="L23" s="400"/>
      <c r="M23" s="400"/>
      <c r="N23" s="321"/>
    </row>
    <row r="24" spans="1:14" s="196" customFormat="1" hidden="1" x14ac:dyDescent="0.25">
      <c r="A24" s="781" t="s">
        <v>52</v>
      </c>
      <c r="B24" s="781"/>
      <c r="C24" s="198"/>
      <c r="D24" s="198"/>
      <c r="E24" s="170">
        <f>SUM(E23)</f>
        <v>0</v>
      </c>
      <c r="F24" s="199"/>
      <c r="G24" s="170" t="e">
        <f>G18+#REF!</f>
        <v>#REF!</v>
      </c>
      <c r="H24" s="207"/>
      <c r="I24" s="170"/>
      <c r="J24" s="170"/>
      <c r="K24" s="400"/>
      <c r="L24" s="400"/>
      <c r="M24" s="400"/>
      <c r="N24" s="321"/>
    </row>
    <row r="25" spans="1:14" s="196" customFormat="1" hidden="1" x14ac:dyDescent="0.25">
      <c r="A25" s="314"/>
      <c r="B25" s="205"/>
      <c r="C25" s="198"/>
      <c r="D25" s="198"/>
      <c r="E25" s="170"/>
      <c r="F25" s="199"/>
      <c r="G25" s="170"/>
      <c r="H25" s="207"/>
      <c r="I25" s="170"/>
      <c r="J25" s="170"/>
      <c r="K25" s="400"/>
      <c r="L25" s="400"/>
      <c r="M25" s="400"/>
      <c r="N25" s="321"/>
    </row>
    <row r="26" spans="1:14" hidden="1" x14ac:dyDescent="0.25">
      <c r="A26" s="787"/>
      <c r="B26" s="787"/>
      <c r="C26" s="209"/>
      <c r="D26" s="209"/>
      <c r="E26" s="210"/>
      <c r="F26" s="171"/>
      <c r="G26" s="170"/>
      <c r="H26" s="316"/>
      <c r="I26" s="170"/>
      <c r="J26" s="170"/>
    </row>
    <row r="27" spans="1:14" hidden="1" x14ac:dyDescent="0.25">
      <c r="A27" s="787" t="s">
        <v>8</v>
      </c>
      <c r="B27" s="787"/>
      <c r="C27" s="209"/>
      <c r="D27" s="209"/>
      <c r="E27" s="210"/>
      <c r="F27" s="171"/>
      <c r="G27" s="304"/>
      <c r="H27" s="304"/>
      <c r="I27" s="360"/>
      <c r="J27" s="360"/>
    </row>
    <row r="28" spans="1:14" ht="12.75" customHeight="1" x14ac:dyDescent="0.25">
      <c r="A28" s="212"/>
      <c r="B28" s="212"/>
      <c r="C28" s="213"/>
      <c r="D28" s="213"/>
      <c r="E28" s="214"/>
      <c r="F28" s="215"/>
      <c r="G28" s="215"/>
      <c r="H28" s="215"/>
      <c r="I28" s="171"/>
      <c r="J28" s="171"/>
    </row>
    <row r="29" spans="1:14" ht="12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215"/>
      <c r="H29" s="215"/>
      <c r="I29" s="215">
        <f>I18-F48</f>
        <v>9.0000000025611371E-2</v>
      </c>
      <c r="J29" s="215"/>
      <c r="L29" s="391">
        <f>L18-F48</f>
        <v>1.6366723459213972E-2</v>
      </c>
      <c r="M29" s="391">
        <f>M18-E48</f>
        <v>2.5460317265242338E-3</v>
      </c>
    </row>
    <row r="30" spans="1:14" ht="9.9499999999999993" customHeight="1" x14ac:dyDescent="0.25">
      <c r="A30" s="216" t="s">
        <v>12</v>
      </c>
      <c r="B30" s="216"/>
      <c r="C30" s="373"/>
      <c r="D30" s="373"/>
      <c r="E30" s="221" t="s">
        <v>13</v>
      </c>
      <c r="F30" s="173" t="s">
        <v>13</v>
      </c>
      <c r="G30" s="215"/>
      <c r="H30" s="215"/>
      <c r="I30" s="215"/>
      <c r="J30" s="215"/>
    </row>
    <row r="31" spans="1:14" ht="9.9499999999999993" customHeight="1" x14ac:dyDescent="0.25">
      <c r="A31" s="216" t="s">
        <v>54</v>
      </c>
      <c r="B31" s="227">
        <v>0.05</v>
      </c>
      <c r="C31" s="223"/>
      <c r="D31" s="223"/>
      <c r="E31" s="171">
        <f>F31</f>
        <v>17023</v>
      </c>
      <c r="F31" s="171">
        <f>B31*F18</f>
        <v>17023</v>
      </c>
      <c r="G31" s="215"/>
      <c r="H31" s="225"/>
      <c r="I31" s="225"/>
      <c r="J31" s="225"/>
      <c r="K31" s="243"/>
    </row>
    <row r="32" spans="1:14" ht="9.9499999999999993" customHeight="1" x14ac:dyDescent="0.25">
      <c r="A32" s="216" t="s">
        <v>15</v>
      </c>
      <c r="B32" s="401">
        <v>1.4472240000000001E-2</v>
      </c>
      <c r="C32" s="373"/>
      <c r="D32" s="373"/>
      <c r="E32" s="171">
        <f>B32*F18</f>
        <v>4927.2188304000001</v>
      </c>
      <c r="F32" s="171">
        <f>B32*F18</f>
        <v>4927.2188304000001</v>
      </c>
      <c r="G32" s="215"/>
      <c r="H32" s="226"/>
      <c r="I32" s="226"/>
      <c r="J32" s="226"/>
      <c r="K32" s="243"/>
    </row>
    <row r="33" spans="1:14" ht="9.9499999999999993" customHeight="1" x14ac:dyDescent="0.25">
      <c r="A33" s="216" t="s">
        <v>55</v>
      </c>
      <c r="B33" s="409">
        <v>4.9997779999999999E-2</v>
      </c>
      <c r="C33" s="223"/>
      <c r="D33" s="223"/>
      <c r="E33" s="171">
        <f>B33*F18</f>
        <v>17022.2441788</v>
      </c>
      <c r="F33" s="171">
        <f>(F18)*B33</f>
        <v>17022.2441788</v>
      </c>
      <c r="G33" s="301"/>
      <c r="H33" s="343"/>
      <c r="I33" s="228"/>
      <c r="J33" s="228"/>
      <c r="L33" s="362"/>
      <c r="M33" s="362"/>
    </row>
    <row r="34" spans="1:14" ht="9.9499999999999993" customHeight="1" x14ac:dyDescent="0.25">
      <c r="A34" s="216" t="s">
        <v>17</v>
      </c>
      <c r="B34" s="373"/>
      <c r="C34" s="373"/>
      <c r="D34" s="373"/>
      <c r="E34" s="171">
        <f>SUM(E31:E33)</f>
        <v>38972.463009200001</v>
      </c>
      <c r="F34" s="171">
        <f>SUM(F31:F33)</f>
        <v>38972.463009200001</v>
      </c>
      <c r="G34" s="215"/>
      <c r="H34" s="215"/>
      <c r="I34" s="362"/>
      <c r="J34" s="215"/>
      <c r="L34" s="362"/>
      <c r="M34" s="362"/>
    </row>
    <row r="35" spans="1:14" ht="5.0999999999999996" customHeight="1" x14ac:dyDescent="0.25">
      <c r="A35" s="216"/>
      <c r="B35" s="373"/>
      <c r="C35" s="373"/>
      <c r="D35" s="373"/>
      <c r="E35" s="171"/>
      <c r="F35" s="171"/>
      <c r="G35" s="215"/>
      <c r="H35" s="215"/>
      <c r="I35" s="215"/>
      <c r="J35" s="215"/>
      <c r="L35" s="189"/>
      <c r="M35" s="189"/>
    </row>
    <row r="36" spans="1:14" ht="9.9499999999999993" customHeight="1" x14ac:dyDescent="0.25">
      <c r="A36" s="216" t="s">
        <v>18</v>
      </c>
      <c r="B36" s="373"/>
      <c r="C36" s="373"/>
      <c r="D36" s="373"/>
      <c r="E36" s="173" t="s">
        <v>13</v>
      </c>
      <c r="F36" s="171"/>
      <c r="G36" s="215"/>
      <c r="H36" s="215"/>
      <c r="I36" s="215"/>
      <c r="J36" s="215"/>
      <c r="L36" s="189"/>
      <c r="M36" s="189"/>
    </row>
    <row r="37" spans="1:14" ht="9.9499999999999993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2699.8478484507932</v>
      </c>
      <c r="F37" s="171">
        <f>B37*$E$46</f>
        <v>2699.8478484507932</v>
      </c>
      <c r="G37" s="215"/>
      <c r="H37" s="215"/>
      <c r="I37" s="215"/>
      <c r="J37" s="215"/>
      <c r="L37" s="189"/>
      <c r="M37" s="189"/>
    </row>
    <row r="38" spans="1:14" ht="9.9499999999999993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12460.856223619046</v>
      </c>
      <c r="F38" s="171">
        <f>B38*$E$46+0.02</f>
        <v>12460.856223619046</v>
      </c>
      <c r="G38" s="215"/>
      <c r="H38" s="215"/>
      <c r="I38" s="215"/>
      <c r="J38" s="215"/>
      <c r="L38" s="189"/>
      <c r="M38" s="189"/>
    </row>
    <row r="39" spans="1:14" ht="9.9499999999999993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20768.100372698413</v>
      </c>
      <c r="F39" s="171">
        <f>B39*$E$46+0.04</f>
        <v>20768.100372698413</v>
      </c>
      <c r="G39" s="215"/>
      <c r="H39" s="215"/>
      <c r="I39" s="215"/>
      <c r="J39" s="215"/>
      <c r="L39" s="189"/>
      <c r="M39" s="189"/>
    </row>
    <row r="40" spans="1:14" ht="9.9499999999999993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SUM(E37:E39)+0.02</f>
        <v>35928.824444768245</v>
      </c>
      <c r="F40" s="171">
        <f>SUM(F37:F39)+0.02</f>
        <v>35928.824444768245</v>
      </c>
      <c r="G40" s="215"/>
      <c r="H40" s="343">
        <f>F34+F40</f>
        <v>74901.287453968253</v>
      </c>
      <c r="I40" s="215"/>
      <c r="J40" s="215"/>
      <c r="L40" s="189">
        <v>0.03</v>
      </c>
      <c r="M40" s="189"/>
    </row>
    <row r="41" spans="1:14" hidden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215"/>
      <c r="H41" s="215"/>
      <c r="I41" s="215"/>
      <c r="J41" s="215"/>
      <c r="L41" s="230">
        <f>L39/L40</f>
        <v>0</v>
      </c>
      <c r="M41" s="230"/>
    </row>
    <row r="42" spans="1:14" hidden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215"/>
      <c r="H42" s="215"/>
      <c r="I42" s="215"/>
      <c r="J42" s="215"/>
    </row>
    <row r="43" spans="1:14" hidden="1" x14ac:dyDescent="0.25">
      <c r="A43" s="802" t="s">
        <v>58</v>
      </c>
      <c r="B43" s="802"/>
      <c r="C43" s="213"/>
      <c r="D43" s="213"/>
      <c r="E43" s="402">
        <f>F18+E34</f>
        <v>379432.4630092</v>
      </c>
      <c r="F43" s="215"/>
      <c r="G43" s="215"/>
      <c r="H43" s="215"/>
      <c r="I43" s="215"/>
      <c r="J43" s="215"/>
    </row>
    <row r="44" spans="1:14" hidden="1" x14ac:dyDescent="0.25">
      <c r="A44" s="796" t="s">
        <v>59</v>
      </c>
      <c r="B44" s="796"/>
      <c r="C44" s="373"/>
      <c r="D44" s="373"/>
      <c r="E44" s="403">
        <f>F18+F34</f>
        <v>379432.4630092</v>
      </c>
      <c r="F44" s="215"/>
      <c r="G44" s="215">
        <f>E48*2%</f>
        <v>8307.2239490793654</v>
      </c>
      <c r="H44" s="215"/>
      <c r="I44" s="215">
        <f>E39/E48%</f>
        <v>5.0000097505497019</v>
      </c>
      <c r="J44" s="215"/>
    </row>
    <row r="45" spans="1:14" hidden="1" x14ac:dyDescent="0.25">
      <c r="A45" s="371"/>
      <c r="B45" s="371"/>
      <c r="C45" s="373"/>
      <c r="D45" s="373"/>
      <c r="E45" s="403">
        <f>E43/(1-B40)</f>
        <v>415361.20745396824</v>
      </c>
      <c r="F45" s="215"/>
      <c r="G45" s="215"/>
      <c r="H45" s="215"/>
      <c r="I45" s="215"/>
      <c r="J45" s="215"/>
    </row>
    <row r="46" spans="1:14" hidden="1" x14ac:dyDescent="0.25">
      <c r="A46" s="796" t="s">
        <v>60</v>
      </c>
      <c r="B46" s="796"/>
      <c r="C46" s="373"/>
      <c r="D46" s="373"/>
      <c r="E46" s="403">
        <f>E44/(1-B40)</f>
        <v>415361.20745396824</v>
      </c>
      <c r="F46" s="215"/>
      <c r="G46" s="215"/>
      <c r="H46" s="215"/>
      <c r="I46" s="215"/>
      <c r="J46" s="215"/>
    </row>
    <row r="47" spans="1:14" s="234" customFormat="1" x14ac:dyDescent="0.25">
      <c r="A47" s="776" t="s">
        <v>24</v>
      </c>
      <c r="B47" s="776"/>
      <c r="C47" s="373"/>
      <c r="D47" s="373"/>
      <c r="E47" s="173" t="s">
        <v>10</v>
      </c>
      <c r="F47" s="350" t="s">
        <v>144</v>
      </c>
      <c r="H47" s="364"/>
      <c r="I47" s="364"/>
      <c r="J47" s="404" t="s">
        <v>25</v>
      </c>
      <c r="K47" s="405"/>
      <c r="L47" s="405"/>
      <c r="M47" s="405"/>
      <c r="N47" s="406"/>
    </row>
    <row r="48" spans="1:14" x14ac:dyDescent="0.25">
      <c r="A48" s="776" t="s">
        <v>26</v>
      </c>
      <c r="B48" s="776"/>
      <c r="C48" s="373"/>
      <c r="D48" s="373"/>
      <c r="E48" s="171">
        <f>E34+E40+F18-0.09</f>
        <v>415361.19745396823</v>
      </c>
      <c r="F48" s="171">
        <f>F18+F34+F40-0.09</f>
        <v>415361.19745396823</v>
      </c>
      <c r="H48" s="215"/>
      <c r="I48" s="215"/>
      <c r="J48" s="407">
        <f>F48-E48</f>
        <v>0</v>
      </c>
    </row>
    <row r="49" spans="1:13" x14ac:dyDescent="0.25">
      <c r="A49" s="776" t="s">
        <v>27</v>
      </c>
      <c r="B49" s="776"/>
      <c r="C49" s="209"/>
      <c r="D49" s="209"/>
      <c r="E49" s="171">
        <f>E48*12+0.03</f>
        <v>4984334.399447619</v>
      </c>
      <c r="F49" s="171">
        <f>F48*12+0.03</f>
        <v>4984334.399447619</v>
      </c>
      <c r="H49" s="215"/>
      <c r="I49" s="215"/>
      <c r="J49" s="407">
        <f>F49-E49</f>
        <v>0</v>
      </c>
    </row>
    <row r="50" spans="1:13" ht="33.75" customHeight="1" x14ac:dyDescent="0.25">
      <c r="A50" s="822"/>
      <c r="B50" s="822"/>
      <c r="C50" s="822"/>
      <c r="D50" s="822"/>
      <c r="E50" s="822"/>
      <c r="F50" s="822"/>
      <c r="G50" s="822"/>
      <c r="H50" s="822"/>
      <c r="I50" s="822"/>
      <c r="J50" s="822"/>
      <c r="K50" s="822"/>
      <c r="L50" s="822"/>
    </row>
    <row r="51" spans="1:13" x14ac:dyDescent="0.25">
      <c r="A51" s="408"/>
      <c r="B51" s="408"/>
      <c r="C51" s="213"/>
      <c r="D51" s="213"/>
      <c r="E51" s="215"/>
      <c r="F51" s="215"/>
      <c r="G51" s="215"/>
      <c r="H51" s="215"/>
      <c r="I51" s="215"/>
      <c r="J51" s="215"/>
    </row>
    <row r="52" spans="1:13" x14ac:dyDescent="0.25">
      <c r="E52" s="237">
        <f>E53-E48</f>
        <v>-284611.19745396823</v>
      </c>
      <c r="G52" s="237"/>
      <c r="H52" s="237"/>
      <c r="I52" s="237"/>
      <c r="J52" s="237"/>
    </row>
    <row r="53" spans="1:13" x14ac:dyDescent="0.25">
      <c r="E53" s="224">
        <v>130750</v>
      </c>
    </row>
    <row r="54" spans="1:13" x14ac:dyDescent="0.25">
      <c r="E54" s="224"/>
      <c r="G54" s="224">
        <v>10880.85</v>
      </c>
    </row>
    <row r="55" spans="1:13" x14ac:dyDescent="0.25">
      <c r="A55" s="190"/>
      <c r="B55" s="190"/>
      <c r="C55" s="190"/>
      <c r="D55" s="190"/>
      <c r="E55" s="224"/>
      <c r="G55" s="224">
        <v>21776.77</v>
      </c>
      <c r="H55" s="190"/>
      <c r="I55" s="190"/>
      <c r="J55" s="190"/>
      <c r="K55" s="190"/>
      <c r="L55" s="190"/>
      <c r="M55" s="190"/>
    </row>
    <row r="56" spans="1:13" x14ac:dyDescent="0.25">
      <c r="A56" s="190"/>
      <c r="B56" s="190"/>
      <c r="C56" s="190"/>
      <c r="D56" s="190"/>
      <c r="E56" s="224"/>
      <c r="G56" s="224">
        <v>45140.71</v>
      </c>
      <c r="H56" s="190"/>
      <c r="I56" s="190"/>
      <c r="J56" s="190"/>
      <c r="K56" s="190"/>
      <c r="L56" s="190"/>
      <c r="M56" s="190"/>
    </row>
    <row r="57" spans="1:13" x14ac:dyDescent="0.25">
      <c r="A57" s="190"/>
      <c r="B57" s="190"/>
      <c r="C57" s="190"/>
      <c r="D57" s="190"/>
      <c r="E57" s="224"/>
      <c r="G57" s="224">
        <v>25176.81</v>
      </c>
      <c r="H57" s="190"/>
      <c r="I57" s="190"/>
      <c r="J57" s="190"/>
      <c r="K57" s="190"/>
      <c r="L57" s="190"/>
      <c r="M57" s="190"/>
    </row>
    <row r="58" spans="1:13" x14ac:dyDescent="0.25">
      <c r="A58" s="190"/>
      <c r="B58" s="190"/>
      <c r="C58" s="190"/>
      <c r="D58" s="190"/>
      <c r="G58" s="224">
        <f>SUM(G54:G57)</f>
        <v>102975.14</v>
      </c>
      <c r="H58" s="190"/>
      <c r="I58" s="190"/>
      <c r="J58" s="190"/>
      <c r="K58" s="190"/>
      <c r="L58" s="190"/>
      <c r="M58" s="190"/>
    </row>
  </sheetData>
  <mergeCells count="20">
    <mergeCell ref="A26:B26"/>
    <mergeCell ref="A27:B27"/>
    <mergeCell ref="A1:F1"/>
    <mergeCell ref="A2:B2"/>
    <mergeCell ref="A4:B4"/>
    <mergeCell ref="A5:B5"/>
    <mergeCell ref="A6:B6"/>
    <mergeCell ref="A7:B7"/>
    <mergeCell ref="A15:B15"/>
    <mergeCell ref="A24:B24"/>
    <mergeCell ref="A16:B16"/>
    <mergeCell ref="A17:B17"/>
    <mergeCell ref="A18:B18"/>
    <mergeCell ref="A47:B47"/>
    <mergeCell ref="A48:B48"/>
    <mergeCell ref="A49:B49"/>
    <mergeCell ref="A50:L50"/>
    <mergeCell ref="A43:B43"/>
    <mergeCell ref="A44:B44"/>
    <mergeCell ref="A46:B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>
    <tabColor theme="8" tint="0.59999389629810485"/>
  </sheetPr>
  <dimension ref="A1:O60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2.85546875" style="235" customWidth="1"/>
    <col min="2" max="2" width="12.42578125" style="235" customWidth="1"/>
    <col min="3" max="3" width="6" style="236" customWidth="1"/>
    <col min="4" max="4" width="8.140625" style="236" hidden="1" customWidth="1"/>
    <col min="5" max="5" width="11.28515625" style="238" customWidth="1"/>
    <col min="6" max="6" width="11.5703125" style="224" customWidth="1"/>
    <col min="7" max="7" width="8.42578125" style="224" hidden="1" customWidth="1"/>
    <col min="8" max="9" width="10" style="224" hidden="1" customWidth="1"/>
    <col min="10" max="10" width="8.855468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5.7109375" style="312" customWidth="1"/>
    <col min="15" max="15" width="9.140625" style="312"/>
    <col min="16" max="16384" width="9.140625" style="190"/>
  </cols>
  <sheetData>
    <row r="1" spans="1:15" ht="16.5" thickBot="1" x14ac:dyDescent="0.3">
      <c r="A1" s="805" t="s">
        <v>208</v>
      </c>
      <c r="B1" s="805"/>
      <c r="C1" s="805"/>
      <c r="D1" s="805"/>
      <c r="E1" s="805"/>
      <c r="F1" s="805"/>
      <c r="G1" s="390"/>
      <c r="H1" s="390"/>
      <c r="I1" s="390"/>
      <c r="J1" s="390"/>
    </row>
    <row r="2" spans="1:15" s="196" customFormat="1" ht="74.25" customHeight="1" x14ac:dyDescent="0.25">
      <c r="A2" s="823" t="s">
        <v>28</v>
      </c>
      <c r="B2" s="807"/>
      <c r="C2" s="568" t="s">
        <v>29</v>
      </c>
      <c r="D2" s="569" t="s">
        <v>153</v>
      </c>
      <c r="E2" s="569" t="s">
        <v>30</v>
      </c>
      <c r="F2" s="392" t="s">
        <v>31</v>
      </c>
      <c r="G2" s="570" t="s">
        <v>176</v>
      </c>
      <c r="H2" s="556" t="s">
        <v>197</v>
      </c>
      <c r="I2" s="392" t="s">
        <v>199</v>
      </c>
      <c r="J2" s="570" t="s">
        <v>201</v>
      </c>
      <c r="K2" s="392" t="s">
        <v>194</v>
      </c>
      <c r="L2" s="579" t="s">
        <v>200</v>
      </c>
      <c r="M2" s="393" t="s">
        <v>198</v>
      </c>
      <c r="N2" s="321"/>
      <c r="O2" s="321"/>
    </row>
    <row r="3" spans="1:15" s="196" customFormat="1" hidden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320"/>
      <c r="G3" s="318"/>
      <c r="H3" s="316"/>
      <c r="I3" s="319"/>
      <c r="J3" s="318"/>
      <c r="K3" s="417"/>
      <c r="L3" s="580"/>
      <c r="M3" s="395"/>
      <c r="N3" s="321"/>
      <c r="O3" s="321"/>
    </row>
    <row r="4" spans="1:15" s="196" customFormat="1" hidden="1" x14ac:dyDescent="0.25">
      <c r="A4" s="780" t="s">
        <v>34</v>
      </c>
      <c r="B4" s="781"/>
      <c r="C4" s="198"/>
      <c r="D4" s="170"/>
      <c r="E4" s="170"/>
      <c r="F4" s="320"/>
      <c r="G4" s="318"/>
      <c r="H4" s="316"/>
      <c r="I4" s="319"/>
      <c r="J4" s="318"/>
      <c r="K4" s="417"/>
      <c r="L4" s="580"/>
      <c r="M4" s="395"/>
      <c r="N4" s="321"/>
      <c r="O4" s="321"/>
    </row>
    <row r="5" spans="1:15" s="196" customFormat="1" hidden="1" x14ac:dyDescent="0.25">
      <c r="A5" s="780" t="s">
        <v>35</v>
      </c>
      <c r="B5" s="781"/>
      <c r="C5" s="198"/>
      <c r="D5" s="170"/>
      <c r="E5" s="170"/>
      <c r="F5" s="320"/>
      <c r="G5" s="318"/>
      <c r="H5" s="316"/>
      <c r="I5" s="319"/>
      <c r="J5" s="318"/>
      <c r="K5" s="417"/>
      <c r="L5" s="580"/>
      <c r="M5" s="395"/>
      <c r="N5" s="321"/>
      <c r="O5" s="321"/>
    </row>
    <row r="6" spans="1:15" s="196" customFormat="1" hidden="1" x14ac:dyDescent="0.25">
      <c r="A6" s="780" t="s">
        <v>36</v>
      </c>
      <c r="B6" s="781"/>
      <c r="C6" s="198"/>
      <c r="D6" s="170"/>
      <c r="E6" s="170"/>
      <c r="F6" s="320"/>
      <c r="G6" s="318"/>
      <c r="H6" s="316"/>
      <c r="I6" s="319"/>
      <c r="J6" s="318"/>
      <c r="K6" s="417"/>
      <c r="L6" s="580"/>
      <c r="M6" s="395"/>
      <c r="N6" s="321"/>
      <c r="O6" s="321"/>
    </row>
    <row r="7" spans="1:15" s="196" customFormat="1" hidden="1" x14ac:dyDescent="0.25">
      <c r="A7" s="790" t="s">
        <v>37</v>
      </c>
      <c r="B7" s="791"/>
      <c r="C7" s="557"/>
      <c r="D7" s="170">
        <f>SUM(D3:D6)</f>
        <v>0</v>
      </c>
      <c r="E7" s="170">
        <f>SUM(E3:E6)</f>
        <v>0</v>
      </c>
      <c r="F7" s="320"/>
      <c r="G7" s="318"/>
      <c r="H7" s="316"/>
      <c r="I7" s="319"/>
      <c r="J7" s="318"/>
      <c r="K7" s="417"/>
      <c r="L7" s="580"/>
      <c r="M7" s="395"/>
      <c r="N7" s="321"/>
      <c r="O7" s="321"/>
    </row>
    <row r="8" spans="1:15" s="196" customFormat="1" hidden="1" x14ac:dyDescent="0.25">
      <c r="A8" s="571"/>
      <c r="B8" s="559"/>
      <c r="C8" s="396"/>
      <c r="D8" s="170"/>
      <c r="E8" s="170"/>
      <c r="F8" s="320"/>
      <c r="G8" s="318"/>
      <c r="H8" s="316"/>
      <c r="I8" s="319"/>
      <c r="J8" s="318"/>
      <c r="K8" s="417"/>
      <c r="L8" s="580"/>
      <c r="M8" s="395"/>
      <c r="N8" s="321"/>
      <c r="O8" s="321"/>
    </row>
    <row r="9" spans="1:15" s="196" customFormat="1" ht="9.9499999999999993" customHeight="1" x14ac:dyDescent="0.25">
      <c r="A9" s="591" t="s">
        <v>244</v>
      </c>
      <c r="B9" s="572"/>
      <c r="C9" s="573">
        <v>1462</v>
      </c>
      <c r="D9" s="199"/>
      <c r="E9" s="199">
        <v>99</v>
      </c>
      <c r="F9" s="320">
        <f>C9*E9</f>
        <v>144738</v>
      </c>
      <c r="G9" s="318">
        <f>F9/$F$20</f>
        <v>0.31132879045996592</v>
      </c>
      <c r="H9" s="516">
        <f>G9*$H$42</f>
        <v>44903.580419673672</v>
      </c>
      <c r="I9" s="513">
        <f>H9+F9</f>
        <v>189641.58041967367</v>
      </c>
      <c r="J9" s="574">
        <f>I9/C9</f>
        <v>129.71380329663043</v>
      </c>
      <c r="K9" s="517">
        <v>189.99</v>
      </c>
      <c r="L9" s="581">
        <f>J9*C9</f>
        <v>189641.5804196737</v>
      </c>
      <c r="M9" s="302">
        <f>K9*C9</f>
        <v>277765.38</v>
      </c>
      <c r="N9" s="321"/>
      <c r="O9" s="311">
        <f>K9-J9</f>
        <v>60.276196703369578</v>
      </c>
    </row>
    <row r="10" spans="1:15" s="196" customFormat="1" ht="9.9499999999999993" customHeight="1" x14ac:dyDescent="0.25">
      <c r="A10" s="591" t="s">
        <v>245</v>
      </c>
      <c r="B10" s="572"/>
      <c r="C10" s="353">
        <v>1462</v>
      </c>
      <c r="D10" s="199"/>
      <c r="E10" s="199">
        <v>99</v>
      </c>
      <c r="F10" s="320">
        <f t="shared" ref="F10:F19" si="0">C10*E10</f>
        <v>144738</v>
      </c>
      <c r="G10" s="318">
        <f t="shared" ref="G10:G19" si="1">F10/$F$20</f>
        <v>0.31132879045996592</v>
      </c>
      <c r="H10" s="516">
        <f t="shared" ref="H10:H19" si="2">G10*$H$42</f>
        <v>44903.580419673672</v>
      </c>
      <c r="I10" s="513">
        <f>H10+F10</f>
        <v>189641.58041967367</v>
      </c>
      <c r="J10" s="574">
        <f t="shared" ref="J10:J18" si="3">I10/C10</f>
        <v>129.71380329663043</v>
      </c>
      <c r="K10" s="517">
        <v>189.99</v>
      </c>
      <c r="L10" s="581">
        <f t="shared" ref="L10:L19" si="4">J10*C10</f>
        <v>189641.5804196737</v>
      </c>
      <c r="M10" s="302">
        <f t="shared" ref="M10:M19" si="5">K10*C10</f>
        <v>277765.38</v>
      </c>
      <c r="N10" s="321"/>
      <c r="O10" s="311">
        <f t="shared" ref="O10:O19" si="6">K10-J10</f>
        <v>60.276196703369578</v>
      </c>
    </row>
    <row r="11" spans="1:15" s="196" customFormat="1" ht="9.9499999999999993" customHeight="1" x14ac:dyDescent="0.25">
      <c r="A11" s="591" t="s">
        <v>246</v>
      </c>
      <c r="B11" s="572"/>
      <c r="C11" s="353">
        <v>181</v>
      </c>
      <c r="D11" s="199"/>
      <c r="E11" s="199">
        <v>99</v>
      </c>
      <c r="F11" s="320">
        <f t="shared" si="0"/>
        <v>17919</v>
      </c>
      <c r="G11" s="318">
        <f t="shared" si="1"/>
        <v>3.8543441226575811E-2</v>
      </c>
      <c r="H11" s="516">
        <f t="shared" si="2"/>
        <v>5559.1983966901062</v>
      </c>
      <c r="I11" s="513">
        <f t="shared" ref="I11:I19" si="7">H11+F11</f>
        <v>23478.198396690106</v>
      </c>
      <c r="J11" s="574">
        <f t="shared" si="3"/>
        <v>129.71380329663043</v>
      </c>
      <c r="K11" s="517">
        <v>144.13</v>
      </c>
      <c r="L11" s="581">
        <f t="shared" si="4"/>
        <v>23478.19839669011</v>
      </c>
      <c r="M11" s="302">
        <f t="shared" si="5"/>
        <v>26087.53</v>
      </c>
      <c r="N11" s="321"/>
      <c r="O11" s="311">
        <f t="shared" si="6"/>
        <v>14.416196703369565</v>
      </c>
    </row>
    <row r="12" spans="1:15" s="196" customFormat="1" ht="9.9499999999999993" customHeight="1" x14ac:dyDescent="0.25">
      <c r="A12" s="592" t="s">
        <v>247</v>
      </c>
      <c r="B12" s="514"/>
      <c r="C12" s="353">
        <v>129</v>
      </c>
      <c r="D12" s="199"/>
      <c r="E12" s="199">
        <v>99</v>
      </c>
      <c r="F12" s="320">
        <f t="shared" si="0"/>
        <v>12771</v>
      </c>
      <c r="G12" s="318">
        <f t="shared" si="1"/>
        <v>2.7470187393526406E-2</v>
      </c>
      <c r="H12" s="516">
        <f t="shared" si="2"/>
        <v>3962.0806252653247</v>
      </c>
      <c r="I12" s="513">
        <f t="shared" si="7"/>
        <v>16733.080625265324</v>
      </c>
      <c r="J12" s="574">
        <f t="shared" si="3"/>
        <v>129.71380329663043</v>
      </c>
      <c r="K12" s="517">
        <v>144.13</v>
      </c>
      <c r="L12" s="581">
        <f t="shared" si="4"/>
        <v>16733.080625265327</v>
      </c>
      <c r="M12" s="302">
        <f t="shared" si="5"/>
        <v>18592.77</v>
      </c>
      <c r="N12" s="321"/>
      <c r="O12" s="311">
        <f t="shared" si="6"/>
        <v>14.416196703369565</v>
      </c>
    </row>
    <row r="13" spans="1:15" s="196" customFormat="1" ht="9.9499999999999993" customHeight="1" x14ac:dyDescent="0.25">
      <c r="A13" s="592" t="s">
        <v>248</v>
      </c>
      <c r="B13" s="514"/>
      <c r="C13" s="354">
        <v>1462</v>
      </c>
      <c r="D13" s="199"/>
      <c r="E13" s="199">
        <v>99</v>
      </c>
      <c r="F13" s="320">
        <f t="shared" si="0"/>
        <v>144738</v>
      </c>
      <c r="G13" s="318">
        <f t="shared" si="1"/>
        <v>0.31132879045996592</v>
      </c>
      <c r="H13" s="516">
        <f t="shared" si="2"/>
        <v>44903.580419673672</v>
      </c>
      <c r="I13" s="513">
        <f t="shared" si="7"/>
        <v>189641.58041967367</v>
      </c>
      <c r="J13" s="574">
        <f t="shared" si="3"/>
        <v>129.71380329663043</v>
      </c>
      <c r="K13" s="517">
        <v>137.58000000000001</v>
      </c>
      <c r="L13" s="581">
        <f t="shared" si="4"/>
        <v>189641.5804196737</v>
      </c>
      <c r="M13" s="302">
        <f t="shared" si="5"/>
        <v>201141.96000000002</v>
      </c>
      <c r="N13" s="321"/>
      <c r="O13" s="311">
        <f t="shared" si="6"/>
        <v>7.8661967033695817</v>
      </c>
    </row>
    <row r="14" spans="1:15" s="196" customFormat="1" ht="9.9499999999999993" customHeight="1" x14ac:dyDescent="0.25">
      <c r="A14" s="592" t="s">
        <v>249</v>
      </c>
      <c r="B14" s="514"/>
      <c r="C14" s="353">
        <v>0</v>
      </c>
      <c r="D14" s="199"/>
      <c r="E14" s="199"/>
      <c r="F14" s="320">
        <f>C14*E14</f>
        <v>0</v>
      </c>
      <c r="G14" s="318">
        <f t="shared" si="1"/>
        <v>0</v>
      </c>
      <c r="H14" s="516">
        <f t="shared" si="2"/>
        <v>0</v>
      </c>
      <c r="I14" s="513">
        <f t="shared" si="7"/>
        <v>0</v>
      </c>
      <c r="J14" s="574" t="e">
        <f t="shared" si="3"/>
        <v>#DIV/0!</v>
      </c>
      <c r="K14" s="517">
        <v>137.58000000000001</v>
      </c>
      <c r="L14" s="581" t="e">
        <f t="shared" si="4"/>
        <v>#DIV/0!</v>
      </c>
      <c r="M14" s="302">
        <f t="shared" si="5"/>
        <v>0</v>
      </c>
      <c r="N14" s="321"/>
      <c r="O14" s="311" t="e">
        <f t="shared" si="6"/>
        <v>#DIV/0!</v>
      </c>
    </row>
    <row r="15" spans="1:15" s="196" customFormat="1" ht="9.9499999999999993" customHeight="1" x14ac:dyDescent="0.25">
      <c r="A15" s="591" t="s">
        <v>250</v>
      </c>
      <c r="B15" s="572"/>
      <c r="C15" s="353">
        <v>0</v>
      </c>
      <c r="D15" s="199"/>
      <c r="E15" s="199"/>
      <c r="F15" s="320">
        <f t="shared" si="0"/>
        <v>0</v>
      </c>
      <c r="G15" s="318">
        <f t="shared" si="1"/>
        <v>0</v>
      </c>
      <c r="H15" s="516">
        <f t="shared" si="2"/>
        <v>0</v>
      </c>
      <c r="I15" s="513">
        <f t="shared" si="7"/>
        <v>0</v>
      </c>
      <c r="J15" s="574" t="e">
        <f t="shared" si="3"/>
        <v>#DIV/0!</v>
      </c>
      <c r="K15" s="517">
        <v>137.58000000000001</v>
      </c>
      <c r="L15" s="581" t="e">
        <f t="shared" si="4"/>
        <v>#DIV/0!</v>
      </c>
      <c r="M15" s="302">
        <f t="shared" si="5"/>
        <v>0</v>
      </c>
      <c r="N15" s="321"/>
      <c r="O15" s="311" t="e">
        <f t="shared" si="6"/>
        <v>#DIV/0!</v>
      </c>
    </row>
    <row r="16" spans="1:15" s="196" customFormat="1" ht="9.9499999999999993" customHeight="1" x14ac:dyDescent="0.25">
      <c r="A16" s="591" t="s">
        <v>251</v>
      </c>
      <c r="B16" s="572"/>
      <c r="C16" s="353">
        <v>0</v>
      </c>
      <c r="D16" s="199"/>
      <c r="E16" s="199"/>
      <c r="F16" s="320">
        <f t="shared" si="0"/>
        <v>0</v>
      </c>
      <c r="G16" s="318">
        <f t="shared" si="1"/>
        <v>0</v>
      </c>
      <c r="H16" s="516">
        <f t="shared" si="2"/>
        <v>0</v>
      </c>
      <c r="I16" s="513">
        <f t="shared" si="7"/>
        <v>0</v>
      </c>
      <c r="J16" s="574" t="e">
        <f t="shared" si="3"/>
        <v>#DIV/0!</v>
      </c>
      <c r="K16" s="517">
        <v>137.58000000000001</v>
      </c>
      <c r="L16" s="581" t="e">
        <f t="shared" si="4"/>
        <v>#DIV/0!</v>
      </c>
      <c r="M16" s="302">
        <f t="shared" si="5"/>
        <v>0</v>
      </c>
      <c r="N16" s="321"/>
      <c r="O16" s="311" t="e">
        <f t="shared" si="6"/>
        <v>#DIV/0!</v>
      </c>
    </row>
    <row r="17" spans="1:15" s="196" customFormat="1" ht="9.9499999999999993" customHeight="1" x14ac:dyDescent="0.25">
      <c r="A17" s="592" t="s">
        <v>252</v>
      </c>
      <c r="B17" s="514"/>
      <c r="C17" s="353">
        <v>0</v>
      </c>
      <c r="D17" s="199"/>
      <c r="E17" s="199"/>
      <c r="F17" s="320">
        <f t="shared" si="0"/>
        <v>0</v>
      </c>
      <c r="G17" s="318">
        <f t="shared" si="1"/>
        <v>0</v>
      </c>
      <c r="H17" s="516">
        <f t="shared" si="2"/>
        <v>0</v>
      </c>
      <c r="I17" s="513">
        <f t="shared" si="7"/>
        <v>0</v>
      </c>
      <c r="J17" s="574" t="e">
        <f t="shared" si="3"/>
        <v>#DIV/0!</v>
      </c>
      <c r="K17" s="517">
        <v>91.72</v>
      </c>
      <c r="L17" s="581" t="e">
        <f t="shared" si="4"/>
        <v>#DIV/0!</v>
      </c>
      <c r="M17" s="302">
        <f t="shared" si="5"/>
        <v>0</v>
      </c>
      <c r="N17" s="321"/>
      <c r="O17" s="311" t="e">
        <f t="shared" si="6"/>
        <v>#DIV/0!</v>
      </c>
    </row>
    <row r="18" spans="1:15" s="196" customFormat="1" ht="9.9499999999999993" customHeight="1" x14ac:dyDescent="0.25">
      <c r="A18" s="592" t="s">
        <v>253</v>
      </c>
      <c r="B18" s="514"/>
      <c r="C18" s="353">
        <v>0</v>
      </c>
      <c r="D18" s="199"/>
      <c r="E18" s="199"/>
      <c r="F18" s="320">
        <f t="shared" si="0"/>
        <v>0</v>
      </c>
      <c r="G18" s="318">
        <f t="shared" si="1"/>
        <v>0</v>
      </c>
      <c r="H18" s="516">
        <f t="shared" si="2"/>
        <v>0</v>
      </c>
      <c r="I18" s="513">
        <f t="shared" si="7"/>
        <v>0</v>
      </c>
      <c r="J18" s="574" t="e">
        <f t="shared" si="3"/>
        <v>#DIV/0!</v>
      </c>
      <c r="K18" s="517">
        <v>85.26</v>
      </c>
      <c r="L18" s="581" t="e">
        <f t="shared" si="4"/>
        <v>#DIV/0!</v>
      </c>
      <c r="M18" s="302">
        <f t="shared" si="5"/>
        <v>0</v>
      </c>
      <c r="N18" s="321"/>
      <c r="O18" s="311" t="e">
        <f t="shared" si="6"/>
        <v>#DIV/0!</v>
      </c>
    </row>
    <row r="19" spans="1:15" s="196" customFormat="1" ht="9.9499999999999993" customHeight="1" x14ac:dyDescent="0.25">
      <c r="A19" s="591" t="s">
        <v>239</v>
      </c>
      <c r="B19" s="572"/>
      <c r="C19" s="353">
        <v>0</v>
      </c>
      <c r="D19" s="199"/>
      <c r="E19" s="199"/>
      <c r="F19" s="320">
        <f t="shared" si="0"/>
        <v>0</v>
      </c>
      <c r="G19" s="318">
        <f t="shared" si="1"/>
        <v>0</v>
      </c>
      <c r="H19" s="516">
        <f t="shared" si="2"/>
        <v>0</v>
      </c>
      <c r="I19" s="513">
        <f t="shared" si="7"/>
        <v>0</v>
      </c>
      <c r="J19" s="574" t="e">
        <f>I19/C19</f>
        <v>#DIV/0!</v>
      </c>
      <c r="K19" s="517">
        <v>58.96</v>
      </c>
      <c r="L19" s="581" t="e">
        <f t="shared" si="4"/>
        <v>#DIV/0!</v>
      </c>
      <c r="M19" s="302">
        <f t="shared" si="5"/>
        <v>0</v>
      </c>
      <c r="N19" s="321"/>
      <c r="O19" s="311" t="e">
        <f t="shared" si="6"/>
        <v>#DIV/0!</v>
      </c>
    </row>
    <row r="20" spans="1:15" s="196" customFormat="1" ht="9.9499999999999993" customHeight="1" thickBot="1" x14ac:dyDescent="0.25">
      <c r="A20" s="784" t="s">
        <v>8</v>
      </c>
      <c r="B20" s="785"/>
      <c r="C20" s="519">
        <f>SUM(C9:C19)</f>
        <v>4696</v>
      </c>
      <c r="D20" s="520">
        <f>SUM(D9:D19)</f>
        <v>0</v>
      </c>
      <c r="E20" s="520"/>
      <c r="F20" s="575">
        <f>SUM(F9:F19)</f>
        <v>464904</v>
      </c>
      <c r="G20" s="576">
        <f>SUM(G9:G19)</f>
        <v>1</v>
      </c>
      <c r="H20" s="521">
        <f>SUM(H9:H19)</f>
        <v>144232.02028097643</v>
      </c>
      <c r="I20" s="577">
        <f>H20+F20</f>
        <v>609136.02028097643</v>
      </c>
      <c r="J20" s="578"/>
      <c r="K20" s="554"/>
      <c r="L20" s="582" t="e">
        <f>SUM(L9:L19)</f>
        <v>#DIV/0!</v>
      </c>
      <c r="M20" s="398">
        <f>SUM(M9:M19)</f>
        <v>801353.02</v>
      </c>
      <c r="N20" s="399" t="e">
        <f>L20-M20</f>
        <v>#DIV/0!</v>
      </c>
      <c r="O20" s="321"/>
    </row>
    <row r="21" spans="1:15" s="196" customFormat="1" hidden="1" x14ac:dyDescent="0.25">
      <c r="A21" s="523"/>
      <c r="B21" s="356"/>
      <c r="C21" s="357"/>
      <c r="D21" s="357"/>
      <c r="E21" s="358"/>
      <c r="F21" s="358"/>
      <c r="G21" s="359"/>
      <c r="H21" s="207"/>
      <c r="I21" s="359"/>
      <c r="J21" s="359"/>
      <c r="K21" s="583"/>
      <c r="L21" s="400"/>
      <c r="M21" s="400"/>
      <c r="N21" s="321"/>
      <c r="O21" s="321"/>
    </row>
    <row r="22" spans="1:15" s="196" customFormat="1" hidden="1" x14ac:dyDescent="0.25">
      <c r="A22" s="322" t="s">
        <v>49</v>
      </c>
      <c r="B22" s="205"/>
      <c r="C22" s="198"/>
      <c r="D22" s="198"/>
      <c r="E22" s="170"/>
      <c r="F22" s="199">
        <v>0</v>
      </c>
      <c r="G22" s="170"/>
      <c r="H22" s="207"/>
      <c r="I22" s="170"/>
      <c r="J22" s="170"/>
      <c r="K22" s="583"/>
      <c r="L22" s="400"/>
      <c r="M22" s="400"/>
      <c r="N22" s="321"/>
      <c r="O22" s="321"/>
    </row>
    <row r="23" spans="1:15" s="196" customFormat="1" hidden="1" x14ac:dyDescent="0.25">
      <c r="A23" s="322" t="s">
        <v>50</v>
      </c>
      <c r="B23" s="205"/>
      <c r="C23" s="198"/>
      <c r="D23" s="198"/>
      <c r="E23" s="170">
        <f>SUM(E22)</f>
        <v>0</v>
      </c>
      <c r="F23" s="199"/>
      <c r="G23" s="170"/>
      <c r="H23" s="207"/>
      <c r="I23" s="170"/>
      <c r="J23" s="170"/>
      <c r="K23" s="583"/>
      <c r="L23" s="400"/>
      <c r="M23" s="400"/>
      <c r="N23" s="321"/>
      <c r="O23" s="321"/>
    </row>
    <row r="24" spans="1:15" s="196" customFormat="1" hidden="1" x14ac:dyDescent="0.25">
      <c r="A24" s="322"/>
      <c r="B24" s="205"/>
      <c r="C24" s="198"/>
      <c r="D24" s="198"/>
      <c r="E24" s="170"/>
      <c r="F24" s="199"/>
      <c r="G24" s="170"/>
      <c r="H24" s="207"/>
      <c r="I24" s="170"/>
      <c r="J24" s="170"/>
      <c r="K24" s="583"/>
      <c r="L24" s="400"/>
      <c r="M24" s="400"/>
      <c r="N24" s="321"/>
      <c r="O24" s="321"/>
    </row>
    <row r="25" spans="1:15" s="196" customFormat="1" hidden="1" x14ac:dyDescent="0.25">
      <c r="A25" s="322" t="s">
        <v>51</v>
      </c>
      <c r="B25" s="205"/>
      <c r="C25" s="198"/>
      <c r="D25" s="198"/>
      <c r="E25" s="170"/>
      <c r="F25" s="199">
        <v>0</v>
      </c>
      <c r="G25" s="170"/>
      <c r="H25" s="207"/>
      <c r="I25" s="170"/>
      <c r="J25" s="170"/>
      <c r="K25" s="583"/>
      <c r="L25" s="400"/>
      <c r="M25" s="400"/>
      <c r="N25" s="321"/>
      <c r="O25" s="321"/>
    </row>
    <row r="26" spans="1:15" s="196" customFormat="1" hidden="1" x14ac:dyDescent="0.25">
      <c r="A26" s="780" t="s">
        <v>52</v>
      </c>
      <c r="B26" s="781"/>
      <c r="C26" s="198"/>
      <c r="D26" s="198"/>
      <c r="E26" s="170">
        <f>SUM(E25)</f>
        <v>0</v>
      </c>
      <c r="F26" s="199"/>
      <c r="G26" s="170" t="e">
        <f>G20+#REF!</f>
        <v>#REF!</v>
      </c>
      <c r="H26" s="207"/>
      <c r="I26" s="170"/>
      <c r="J26" s="170"/>
      <c r="K26" s="583"/>
      <c r="L26" s="400"/>
      <c r="M26" s="400"/>
      <c r="N26" s="321"/>
      <c r="O26" s="321"/>
    </row>
    <row r="27" spans="1:15" s="196" customFormat="1" hidden="1" x14ac:dyDescent="0.25">
      <c r="A27" s="322"/>
      <c r="B27" s="205"/>
      <c r="C27" s="198"/>
      <c r="D27" s="198"/>
      <c r="E27" s="170"/>
      <c r="F27" s="199"/>
      <c r="G27" s="170"/>
      <c r="H27" s="207"/>
      <c r="I27" s="170"/>
      <c r="J27" s="170"/>
      <c r="K27" s="583"/>
      <c r="L27" s="400"/>
      <c r="M27" s="400"/>
      <c r="N27" s="321"/>
      <c r="O27" s="321"/>
    </row>
    <row r="28" spans="1:15" hidden="1" x14ac:dyDescent="0.25">
      <c r="A28" s="786"/>
      <c r="B28" s="787"/>
      <c r="C28" s="209"/>
      <c r="D28" s="209"/>
      <c r="E28" s="210"/>
      <c r="F28" s="171"/>
      <c r="G28" s="170"/>
      <c r="H28" s="316"/>
      <c r="I28" s="170"/>
      <c r="J28" s="170"/>
      <c r="K28" s="584"/>
    </row>
    <row r="29" spans="1:15" hidden="1" x14ac:dyDescent="0.25">
      <c r="A29" s="786" t="s">
        <v>8</v>
      </c>
      <c r="B29" s="787"/>
      <c r="C29" s="209"/>
      <c r="D29" s="209"/>
      <c r="E29" s="210"/>
      <c r="F29" s="171"/>
      <c r="G29" s="304"/>
      <c r="H29" s="304"/>
      <c r="I29" s="360"/>
      <c r="J29" s="360"/>
      <c r="K29" s="584"/>
    </row>
    <row r="30" spans="1:15" ht="5.0999999999999996" customHeight="1" x14ac:dyDescent="0.25">
      <c r="A30" s="526"/>
      <c r="B30" s="212"/>
      <c r="C30" s="213"/>
      <c r="D30" s="213"/>
      <c r="E30" s="214"/>
      <c r="F30" s="215"/>
      <c r="G30" s="215"/>
      <c r="H30" s="215"/>
      <c r="I30" s="171"/>
      <c r="J30" s="171"/>
      <c r="K30" s="584"/>
    </row>
    <row r="31" spans="1:15" ht="12" customHeight="1" x14ac:dyDescent="0.25">
      <c r="A31" s="528"/>
      <c r="B31" s="349" t="s">
        <v>9</v>
      </c>
      <c r="C31" s="349"/>
      <c r="D31" s="349"/>
      <c r="E31" s="361" t="s">
        <v>10</v>
      </c>
      <c r="F31" s="350" t="s">
        <v>144</v>
      </c>
      <c r="G31" s="343"/>
      <c r="H31" s="215"/>
      <c r="I31" s="215">
        <f>I20-F50</f>
        <v>0</v>
      </c>
      <c r="J31" s="215"/>
      <c r="K31" s="584"/>
      <c r="L31" s="189" t="e">
        <f>L20-F50</f>
        <v>#DIV/0!</v>
      </c>
      <c r="M31" s="304">
        <f>M20-E50</f>
        <v>246922.53000000003</v>
      </c>
    </row>
    <row r="32" spans="1:15" ht="9.9499999999999993" customHeight="1" x14ac:dyDescent="0.25">
      <c r="A32" s="528" t="s">
        <v>12</v>
      </c>
      <c r="B32" s="216"/>
      <c r="C32" s="495"/>
      <c r="D32" s="495"/>
      <c r="E32" s="221" t="s">
        <v>13</v>
      </c>
      <c r="F32" s="173" t="s">
        <v>13</v>
      </c>
      <c r="G32" s="215"/>
      <c r="H32" s="215"/>
      <c r="I32" s="215"/>
      <c r="J32" s="215"/>
      <c r="K32" s="584"/>
    </row>
    <row r="33" spans="1:13" ht="9.9499999999999993" customHeight="1" x14ac:dyDescent="0.25">
      <c r="A33" s="528" t="s">
        <v>54</v>
      </c>
      <c r="B33" s="227">
        <v>0.03</v>
      </c>
      <c r="C33" s="223"/>
      <c r="D33" s="223"/>
      <c r="E33" s="171">
        <f>F33</f>
        <v>13947.119999999999</v>
      </c>
      <c r="F33" s="171">
        <f>B33*F20</f>
        <v>13947.119999999999</v>
      </c>
      <c r="G33" s="215"/>
      <c r="H33" s="225"/>
      <c r="I33" s="225"/>
      <c r="J33" s="225"/>
      <c r="K33" s="585"/>
    </row>
    <row r="34" spans="1:13" ht="9.9499999999999993" customHeight="1" x14ac:dyDescent="0.25">
      <c r="A34" s="528" t="s">
        <v>15</v>
      </c>
      <c r="B34" s="401">
        <v>0.03</v>
      </c>
      <c r="C34" s="495"/>
      <c r="D34" s="495"/>
      <c r="E34" s="171">
        <f>B34*F20</f>
        <v>13947.119999999999</v>
      </c>
      <c r="F34" s="171">
        <f>B34*F20</f>
        <v>13947.119999999999</v>
      </c>
      <c r="G34" s="215"/>
      <c r="H34" s="226"/>
      <c r="I34" s="226"/>
      <c r="J34" s="226"/>
      <c r="K34" s="585"/>
    </row>
    <row r="35" spans="1:13" ht="9.9499999999999993" customHeight="1" x14ac:dyDescent="0.25">
      <c r="A35" s="528" t="s">
        <v>55</v>
      </c>
      <c r="B35" s="409">
        <v>0.1291553</v>
      </c>
      <c r="C35" s="223"/>
      <c r="D35" s="223"/>
      <c r="E35" s="171">
        <v>33721.58</v>
      </c>
      <c r="F35" s="171">
        <f>(F20+F33+F34)*B35</f>
        <v>63647.504526671997</v>
      </c>
      <c r="G35" s="586"/>
      <c r="H35" s="343"/>
      <c r="I35" s="228"/>
      <c r="J35" s="567" t="s">
        <v>25</v>
      </c>
      <c r="K35" s="584"/>
      <c r="L35" s="362"/>
      <c r="M35" s="362"/>
    </row>
    <row r="36" spans="1:13" ht="9.9499999999999993" customHeight="1" x14ac:dyDescent="0.25">
      <c r="A36" s="528" t="s">
        <v>17</v>
      </c>
      <c r="B36" s="495"/>
      <c r="C36" s="495"/>
      <c r="D36" s="495"/>
      <c r="E36" s="407">
        <f>SUM(E33:E35)+0.01</f>
        <v>61615.83</v>
      </c>
      <c r="F36" s="407">
        <f>SUM(F33:F35)+0.01</f>
        <v>91541.754526671997</v>
      </c>
      <c r="G36" s="586"/>
      <c r="H36" s="215"/>
      <c r="I36" s="362"/>
      <c r="J36" s="407">
        <f>E36-F36</f>
        <v>-29925.924526671995</v>
      </c>
      <c r="K36" s="584"/>
      <c r="L36" s="362"/>
      <c r="M36" s="362"/>
    </row>
    <row r="37" spans="1:13" ht="5.0999999999999996" customHeight="1" x14ac:dyDescent="0.25">
      <c r="A37" s="528"/>
      <c r="B37" s="495"/>
      <c r="C37" s="495"/>
      <c r="D37" s="495"/>
      <c r="E37" s="171"/>
      <c r="F37" s="171"/>
      <c r="G37" s="586"/>
      <c r="H37" s="215"/>
      <c r="I37" s="215"/>
      <c r="J37" s="215"/>
      <c r="K37" s="584"/>
      <c r="L37" s="189"/>
      <c r="M37" s="189"/>
    </row>
    <row r="38" spans="1:13" ht="9.9499999999999993" customHeight="1" x14ac:dyDescent="0.25">
      <c r="A38" s="528" t="s">
        <v>18</v>
      </c>
      <c r="B38" s="495"/>
      <c r="C38" s="495"/>
      <c r="D38" s="495"/>
      <c r="E38" s="173" t="s">
        <v>13</v>
      </c>
      <c r="F38" s="171"/>
      <c r="G38" s="586"/>
      <c r="H38" s="215"/>
      <c r="I38" s="215"/>
      <c r="J38" s="215"/>
      <c r="K38" s="584"/>
      <c r="L38" s="189"/>
      <c r="M38" s="189"/>
    </row>
    <row r="39" spans="1:13" ht="9.9499999999999993" customHeight="1" x14ac:dyDescent="0.25">
      <c r="A39" s="528" t="s">
        <v>19</v>
      </c>
      <c r="B39" s="227">
        <v>6.4999999999999997E-3</v>
      </c>
      <c r="C39" s="227"/>
      <c r="D39" s="227"/>
      <c r="E39" s="171">
        <v>2097.33</v>
      </c>
      <c r="F39" s="171">
        <f>B39*$E$48</f>
        <v>3959.3841318263467</v>
      </c>
      <c r="G39" s="586"/>
      <c r="H39" s="215"/>
      <c r="I39" s="215"/>
      <c r="J39" s="215"/>
      <c r="K39" s="584"/>
      <c r="L39" s="189"/>
      <c r="M39" s="189"/>
    </row>
    <row r="40" spans="1:13" ht="9.9499999999999993" customHeight="1" x14ac:dyDescent="0.25">
      <c r="A40" s="528" t="s">
        <v>20</v>
      </c>
      <c r="B40" s="227">
        <v>0.03</v>
      </c>
      <c r="C40" s="229"/>
      <c r="D40" s="229"/>
      <c r="E40" s="171">
        <v>9680</v>
      </c>
      <c r="F40" s="171">
        <f t="shared" ref="F40" si="8">B40*$E$48</f>
        <v>18274.080608429293</v>
      </c>
      <c r="G40" s="586"/>
      <c r="H40" s="215"/>
      <c r="I40" s="215"/>
      <c r="J40" s="215"/>
      <c r="K40" s="584"/>
      <c r="L40" s="189"/>
      <c r="M40" s="189"/>
    </row>
    <row r="41" spans="1:13" ht="9.9499999999999993" customHeight="1" x14ac:dyDescent="0.25">
      <c r="A41" s="528" t="s">
        <v>21</v>
      </c>
      <c r="B41" s="227">
        <v>0.05</v>
      </c>
      <c r="C41" s="229"/>
      <c r="D41" s="229"/>
      <c r="E41" s="171">
        <v>16133.33</v>
      </c>
      <c r="F41" s="171">
        <f>B41*$E$48</f>
        <v>30456.801014048822</v>
      </c>
      <c r="G41" s="586"/>
      <c r="H41" s="215"/>
      <c r="I41" s="215"/>
      <c r="J41" s="567" t="s">
        <v>25</v>
      </c>
      <c r="K41" s="584"/>
      <c r="L41" s="189"/>
      <c r="M41" s="189"/>
    </row>
    <row r="42" spans="1:13" ht="9.9499999999999993" customHeight="1" x14ac:dyDescent="0.25">
      <c r="A42" s="528" t="s">
        <v>17</v>
      </c>
      <c r="B42" s="227">
        <f>SUM(B39:B41)</f>
        <v>8.6499999999999994E-2</v>
      </c>
      <c r="C42" s="227"/>
      <c r="D42" s="227"/>
      <c r="E42" s="407">
        <f>SUM(E39:E41)</f>
        <v>27910.66</v>
      </c>
      <c r="F42" s="407">
        <f>SUM(F39:F41)</f>
        <v>52690.265754304462</v>
      </c>
      <c r="G42" s="586"/>
      <c r="H42" s="343">
        <f>F36+F42</f>
        <v>144232.02028097646</v>
      </c>
      <c r="I42" s="215"/>
      <c r="J42" s="407">
        <f>E42-F42</f>
        <v>-24779.605754304463</v>
      </c>
      <c r="K42" s="584"/>
      <c r="L42" s="189"/>
      <c r="M42" s="189"/>
    </row>
    <row r="43" spans="1:13" hidden="1" x14ac:dyDescent="0.25">
      <c r="A43" s="528" t="s">
        <v>155</v>
      </c>
      <c r="B43" s="227">
        <v>0</v>
      </c>
      <c r="C43" s="227"/>
      <c r="D43" s="227"/>
      <c r="E43" s="171">
        <v>0</v>
      </c>
      <c r="F43" s="171"/>
      <c r="G43" s="586"/>
      <c r="H43" s="215"/>
      <c r="I43" s="215"/>
      <c r="J43" s="215"/>
      <c r="K43" s="584"/>
      <c r="L43" s="230"/>
      <c r="M43" s="230"/>
    </row>
    <row r="44" spans="1:13" hidden="1" x14ac:dyDescent="0.25">
      <c r="A44" s="528" t="s">
        <v>156</v>
      </c>
      <c r="B44" s="227">
        <v>0</v>
      </c>
      <c r="C44" s="227"/>
      <c r="D44" s="227"/>
      <c r="E44" s="171">
        <v>0</v>
      </c>
      <c r="F44" s="171"/>
      <c r="G44" s="586"/>
      <c r="H44" s="215"/>
      <c r="I44" s="215"/>
      <c r="J44" s="215"/>
      <c r="K44" s="584"/>
    </row>
    <row r="45" spans="1:13" hidden="1" x14ac:dyDescent="0.25">
      <c r="A45" s="803" t="s">
        <v>58</v>
      </c>
      <c r="B45" s="802"/>
      <c r="C45" s="213"/>
      <c r="D45" s="213"/>
      <c r="E45" s="402">
        <f>F20+E36</f>
        <v>526519.82999999996</v>
      </c>
      <c r="F45" s="215"/>
      <c r="G45" s="586"/>
      <c r="H45" s="215"/>
      <c r="I45" s="215"/>
      <c r="J45" s="215"/>
      <c r="K45" s="584"/>
    </row>
    <row r="46" spans="1:13" hidden="1" x14ac:dyDescent="0.25">
      <c r="A46" s="804" t="s">
        <v>59</v>
      </c>
      <c r="B46" s="796"/>
      <c r="C46" s="495"/>
      <c r="D46" s="495"/>
      <c r="E46" s="403">
        <f>F20+F36</f>
        <v>556445.75452667195</v>
      </c>
      <c r="F46" s="215"/>
      <c r="G46" s="586"/>
      <c r="H46" s="215"/>
      <c r="I46" s="215"/>
      <c r="J46" s="215">
        <f>E50*2%</f>
        <v>11088.6098</v>
      </c>
      <c r="K46" s="584"/>
    </row>
    <row r="47" spans="1:13" hidden="1" x14ac:dyDescent="0.25">
      <c r="A47" s="587"/>
      <c r="B47" s="496"/>
      <c r="C47" s="495"/>
      <c r="D47" s="495"/>
      <c r="E47" s="403">
        <f>E46/(1-B42)</f>
        <v>609136.02028097643</v>
      </c>
      <c r="F47" s="215"/>
      <c r="G47" s="586"/>
      <c r="H47" s="215"/>
      <c r="I47" s="215"/>
      <c r="J47" s="215"/>
      <c r="K47" s="584"/>
    </row>
    <row r="48" spans="1:13" hidden="1" x14ac:dyDescent="0.25">
      <c r="A48" s="804" t="s">
        <v>60</v>
      </c>
      <c r="B48" s="796"/>
      <c r="C48" s="495"/>
      <c r="D48" s="495"/>
      <c r="E48" s="403">
        <f>E46/(1-B42)</f>
        <v>609136.02028097643</v>
      </c>
      <c r="F48" s="215"/>
      <c r="G48" s="586"/>
      <c r="H48" s="215"/>
      <c r="I48" s="215"/>
      <c r="J48" s="215"/>
      <c r="K48" s="584"/>
    </row>
    <row r="49" spans="1:15" s="234" customFormat="1" x14ac:dyDescent="0.25">
      <c r="A49" s="775" t="s">
        <v>24</v>
      </c>
      <c r="B49" s="776"/>
      <c r="C49" s="495"/>
      <c r="D49" s="495"/>
      <c r="E49" s="173" t="s">
        <v>10</v>
      </c>
      <c r="F49" s="350" t="s">
        <v>144</v>
      </c>
      <c r="G49" s="545"/>
      <c r="H49" s="364"/>
      <c r="I49" s="364"/>
      <c r="J49" s="404" t="s">
        <v>25</v>
      </c>
      <c r="K49" s="588"/>
      <c r="L49" s="405"/>
      <c r="M49" s="405"/>
      <c r="N49" s="406"/>
      <c r="O49" s="406"/>
    </row>
    <row r="50" spans="1:15" x14ac:dyDescent="0.25">
      <c r="A50" s="775" t="s">
        <v>26</v>
      </c>
      <c r="B50" s="776"/>
      <c r="C50" s="495"/>
      <c r="D50" s="495"/>
      <c r="E50" s="407">
        <f>E36+E42+F20</f>
        <v>554430.49</v>
      </c>
      <c r="F50" s="407">
        <f>F20+F36+F42</f>
        <v>609136.02028097643</v>
      </c>
      <c r="G50" s="586"/>
      <c r="H50" s="215"/>
      <c r="I50" s="215"/>
      <c r="J50" s="407">
        <f>E50-F50</f>
        <v>-54705.53028097644</v>
      </c>
      <c r="K50" s="584"/>
    </row>
    <row r="51" spans="1:15" ht="15.75" thickBot="1" x14ac:dyDescent="0.3">
      <c r="A51" s="777" t="s">
        <v>27</v>
      </c>
      <c r="B51" s="778"/>
      <c r="C51" s="547"/>
      <c r="D51" s="547"/>
      <c r="E51" s="548">
        <f>E50*12</f>
        <v>6653165.8799999999</v>
      </c>
      <c r="F51" s="548">
        <f>F50*12</f>
        <v>7309632.2433717176</v>
      </c>
      <c r="G51" s="589"/>
      <c r="H51" s="550"/>
      <c r="I51" s="550"/>
      <c r="J51" s="548">
        <f>E51-F51</f>
        <v>-656466.36337171774</v>
      </c>
      <c r="K51" s="590"/>
    </row>
    <row r="52" spans="1:15" ht="33.75" customHeight="1" x14ac:dyDescent="0.25">
      <c r="A52" s="822"/>
      <c r="B52" s="822"/>
      <c r="C52" s="822"/>
      <c r="D52" s="822"/>
      <c r="E52" s="822"/>
      <c r="F52" s="822"/>
      <c r="G52" s="822"/>
      <c r="H52" s="822"/>
      <c r="I52" s="822"/>
      <c r="J52" s="822"/>
      <c r="K52" s="822"/>
      <c r="L52" s="822"/>
    </row>
    <row r="53" spans="1:15" x14ac:dyDescent="0.25">
      <c r="A53" s="408"/>
      <c r="B53" s="408"/>
      <c r="C53" s="213"/>
      <c r="D53" s="213"/>
      <c r="E53" s="215"/>
      <c r="F53" s="215"/>
      <c r="G53" s="215"/>
      <c r="H53" s="215"/>
      <c r="I53" s="215"/>
      <c r="J53" s="215"/>
    </row>
    <row r="54" spans="1:15" x14ac:dyDescent="0.25">
      <c r="E54" s="237"/>
      <c r="G54" s="237"/>
      <c r="H54" s="237"/>
      <c r="I54" s="237"/>
      <c r="J54" s="237"/>
    </row>
    <row r="55" spans="1:15" x14ac:dyDescent="0.25">
      <c r="E55" s="224"/>
    </row>
    <row r="56" spans="1:15" x14ac:dyDescent="0.25">
      <c r="E56" s="224"/>
    </row>
    <row r="57" spans="1:15" x14ac:dyDescent="0.25">
      <c r="A57" s="190"/>
      <c r="B57" s="190"/>
      <c r="C57" s="190"/>
      <c r="D57" s="190"/>
      <c r="E57" s="224"/>
      <c r="G57" s="224">
        <v>21776.77</v>
      </c>
      <c r="H57" s="190"/>
      <c r="I57" s="190"/>
      <c r="J57" s="190"/>
      <c r="K57" s="190"/>
      <c r="L57" s="190"/>
      <c r="M57" s="190"/>
    </row>
    <row r="58" spans="1:15" x14ac:dyDescent="0.25">
      <c r="A58" s="190"/>
      <c r="B58" s="190"/>
      <c r="C58" s="190"/>
      <c r="D58" s="190"/>
      <c r="E58" s="224"/>
      <c r="G58" s="224">
        <v>45140.71</v>
      </c>
      <c r="H58" s="190"/>
      <c r="I58" s="190"/>
      <c r="J58" s="190"/>
      <c r="K58" s="190"/>
      <c r="L58" s="190"/>
      <c r="M58" s="190"/>
    </row>
    <row r="59" spans="1:15" x14ac:dyDescent="0.25">
      <c r="A59" s="190"/>
      <c r="B59" s="190"/>
      <c r="C59" s="190"/>
      <c r="D59" s="190"/>
      <c r="E59" s="224"/>
      <c r="G59" s="224">
        <v>25176.81</v>
      </c>
      <c r="H59" s="190"/>
      <c r="I59" s="190"/>
      <c r="J59" s="190"/>
      <c r="K59" s="190"/>
      <c r="L59" s="190"/>
      <c r="M59" s="190"/>
    </row>
    <row r="60" spans="1:15" x14ac:dyDescent="0.25">
      <c r="A60" s="190"/>
      <c r="B60" s="190"/>
      <c r="C60" s="190"/>
      <c r="D60" s="190"/>
      <c r="G60" s="224">
        <f>SUM(G56:G59)</f>
        <v>92094.29</v>
      </c>
      <c r="H60" s="190"/>
      <c r="I60" s="190"/>
      <c r="J60" s="190"/>
      <c r="K60" s="190"/>
      <c r="L60" s="190"/>
      <c r="M60" s="190"/>
    </row>
  </sheetData>
  <mergeCells count="17">
    <mergeCell ref="A7:B7"/>
    <mergeCell ref="A1:F1"/>
    <mergeCell ref="A2:B2"/>
    <mergeCell ref="A4:B4"/>
    <mergeCell ref="A5:B5"/>
    <mergeCell ref="A6:B6"/>
    <mergeCell ref="A46:B46"/>
    <mergeCell ref="A20:B20"/>
    <mergeCell ref="A26:B26"/>
    <mergeCell ref="A28:B28"/>
    <mergeCell ref="A29:B29"/>
    <mergeCell ref="A45:B45"/>
    <mergeCell ref="A48:B48"/>
    <mergeCell ref="A49:B49"/>
    <mergeCell ref="A50:B50"/>
    <mergeCell ref="A51:B51"/>
    <mergeCell ref="A52:L52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theme="4" tint="0.59999389629810485"/>
  </sheetPr>
  <dimension ref="A1:S60"/>
  <sheetViews>
    <sheetView zoomScale="180" zoomScaleNormal="180" workbookViewId="0">
      <selection activeCell="A2" sqref="A2:B2"/>
    </sheetView>
  </sheetViews>
  <sheetFormatPr defaultColWidth="9.140625" defaultRowHeight="10.5" x14ac:dyDescent="0.2"/>
  <cols>
    <col min="1" max="1" width="24.42578125" style="439" customWidth="1"/>
    <col min="2" max="2" width="7.140625" style="439" customWidth="1"/>
    <col min="3" max="3" width="6.85546875" style="443" customWidth="1"/>
    <col min="4" max="4" width="8.140625" style="443" hidden="1" customWidth="1"/>
    <col min="5" max="5" width="10.140625" style="432" customWidth="1"/>
    <col min="6" max="6" width="10.140625" style="433" customWidth="1"/>
    <col min="7" max="7" width="8.42578125" style="433" hidden="1" customWidth="1"/>
    <col min="8" max="8" width="8.85546875" style="433" hidden="1" customWidth="1"/>
    <col min="9" max="9" width="10" style="433" hidden="1" customWidth="1"/>
    <col min="10" max="10" width="7.7109375" style="433" customWidth="1"/>
    <col min="11" max="11" width="8.140625" style="434" customWidth="1"/>
    <col min="12" max="12" width="8.85546875" style="434" customWidth="1"/>
    <col min="13" max="13" width="10.140625" style="434" customWidth="1"/>
    <col min="14" max="14" width="7.28515625" style="476" customWidth="1"/>
    <col min="15" max="15" width="10.5703125" style="476" bestFit="1" customWidth="1"/>
    <col min="16" max="16384" width="9.140625" style="476"/>
  </cols>
  <sheetData>
    <row r="1" spans="1:17" x14ac:dyDescent="0.2">
      <c r="A1" s="826" t="s">
        <v>207</v>
      </c>
      <c r="B1" s="826"/>
      <c r="C1" s="826"/>
      <c r="D1" s="826"/>
      <c r="E1" s="826"/>
      <c r="F1" s="826"/>
      <c r="G1" s="475"/>
      <c r="H1" s="475"/>
      <c r="I1" s="475"/>
      <c r="J1" s="475"/>
    </row>
    <row r="2" spans="1:17" s="471" customFormat="1" ht="62.25" customHeight="1" x14ac:dyDescent="0.25">
      <c r="A2" s="821" t="s">
        <v>28</v>
      </c>
      <c r="B2" s="821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9" t="s">
        <v>200</v>
      </c>
      <c r="M2" s="419" t="s">
        <v>198</v>
      </c>
    </row>
    <row r="3" spans="1:17" s="471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302"/>
      <c r="M3" s="302"/>
    </row>
    <row r="4" spans="1:17" s="471" customFormat="1" hidden="1" x14ac:dyDescent="0.25">
      <c r="A4" s="817" t="s">
        <v>34</v>
      </c>
      <c r="B4" s="817"/>
      <c r="C4" s="369"/>
      <c r="D4" s="415"/>
      <c r="E4" s="415"/>
      <c r="F4" s="419"/>
      <c r="G4" s="415"/>
      <c r="H4" s="415"/>
      <c r="I4" s="415"/>
      <c r="J4" s="415"/>
      <c r="K4" s="302"/>
      <c r="L4" s="302"/>
      <c r="M4" s="302"/>
    </row>
    <row r="5" spans="1:17" s="471" customFormat="1" hidden="1" x14ac:dyDescent="0.25">
      <c r="A5" s="817" t="s">
        <v>35</v>
      </c>
      <c r="B5" s="817"/>
      <c r="C5" s="369"/>
      <c r="D5" s="415"/>
      <c r="E5" s="415"/>
      <c r="F5" s="419"/>
      <c r="G5" s="415"/>
      <c r="H5" s="415"/>
      <c r="I5" s="415"/>
      <c r="J5" s="415"/>
      <c r="K5" s="302"/>
      <c r="L5" s="302"/>
      <c r="M5" s="302"/>
    </row>
    <row r="6" spans="1:17" s="471" customFormat="1" hidden="1" x14ac:dyDescent="0.25">
      <c r="A6" s="817" t="s">
        <v>36</v>
      </c>
      <c r="B6" s="817"/>
      <c r="C6" s="369"/>
      <c r="D6" s="415"/>
      <c r="E6" s="415"/>
      <c r="F6" s="419"/>
      <c r="G6" s="415"/>
      <c r="H6" s="415"/>
      <c r="I6" s="415"/>
      <c r="J6" s="415"/>
      <c r="K6" s="302"/>
      <c r="L6" s="302"/>
      <c r="M6" s="302"/>
    </row>
    <row r="7" spans="1:17" s="471" customFormat="1" hidden="1" x14ac:dyDescent="0.25">
      <c r="A7" s="817" t="s">
        <v>37</v>
      </c>
      <c r="B7" s="817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302"/>
      <c r="M7" s="302"/>
    </row>
    <row r="8" spans="1:17" s="471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302"/>
      <c r="M8" s="302"/>
    </row>
    <row r="9" spans="1:17" s="471" customFormat="1" ht="8.1" customHeight="1" x14ac:dyDescent="0.15">
      <c r="A9" s="472" t="s">
        <v>231</v>
      </c>
      <c r="B9" s="370"/>
      <c r="C9" s="420">
        <v>310</v>
      </c>
      <c r="D9" s="419"/>
      <c r="E9" s="419">
        <v>161.76</v>
      </c>
      <c r="F9" s="419">
        <f>C9*E9</f>
        <v>50145.599999999999</v>
      </c>
      <c r="G9" s="415">
        <f t="shared" ref="G9:G19" si="0">F9/$F$20</f>
        <v>0.19020605124520981</v>
      </c>
      <c r="H9" s="467">
        <f>G9*$H$42</f>
        <v>12393.729478844567</v>
      </c>
      <c r="I9" s="467">
        <f>H9+F9</f>
        <v>62539.329478844564</v>
      </c>
      <c r="J9" s="467">
        <f>I9/C9</f>
        <v>201.73977251240183</v>
      </c>
      <c r="K9" s="468">
        <v>201.74</v>
      </c>
      <c r="L9" s="302">
        <f>J9*C9</f>
        <v>62539.329478844564</v>
      </c>
      <c r="M9" s="302">
        <f>K9*C9</f>
        <v>62539.4</v>
      </c>
      <c r="Q9" s="480">
        <f>J9-K9</f>
        <v>-2.2748759818114195E-4</v>
      </c>
    </row>
    <row r="10" spans="1:17" s="471" customFormat="1" ht="8.1" customHeight="1" x14ac:dyDescent="0.15">
      <c r="A10" s="488" t="s">
        <v>232</v>
      </c>
      <c r="B10" s="489"/>
      <c r="C10" s="490">
        <v>206</v>
      </c>
      <c r="D10" s="487"/>
      <c r="E10" s="487">
        <v>141.76</v>
      </c>
      <c r="F10" s="487">
        <f>C10*E10</f>
        <v>29202.559999999998</v>
      </c>
      <c r="G10" s="415">
        <f t="shared" si="0"/>
        <v>0.11076751746616481</v>
      </c>
      <c r="H10" s="467">
        <f t="shared" ref="H10:H18" si="1">G10*$H$42</f>
        <v>7217.5550542764913</v>
      </c>
      <c r="I10" s="467">
        <f t="shared" ref="I10:I19" si="2">H10+F10</f>
        <v>36420.115054276488</v>
      </c>
      <c r="J10" s="492">
        <f>I10/C10</f>
        <v>176.79667502075966</v>
      </c>
      <c r="K10" s="493">
        <v>176.83</v>
      </c>
      <c r="L10" s="302">
        <f t="shared" ref="L10:L19" si="3">J10*C10</f>
        <v>36420.115054276488</v>
      </c>
      <c r="M10" s="302">
        <f t="shared" ref="M10:M19" si="4">K10*C10</f>
        <v>36426.980000000003</v>
      </c>
      <c r="N10" s="494">
        <f>M10-L10</f>
        <v>6.8649457235151203</v>
      </c>
      <c r="O10" s="480">
        <v>29206.68</v>
      </c>
      <c r="P10" s="480">
        <f>O10-F10</f>
        <v>4.1200000000026193</v>
      </c>
      <c r="Q10" s="480">
        <f>J10-K10</f>
        <v>-3.332497924034783E-2</v>
      </c>
    </row>
    <row r="11" spans="1:17" s="471" customFormat="1" ht="8.1" customHeight="1" x14ac:dyDescent="0.15">
      <c r="A11" s="472" t="s">
        <v>233</v>
      </c>
      <c r="B11" s="370"/>
      <c r="C11" s="420">
        <v>490</v>
      </c>
      <c r="D11" s="419"/>
      <c r="E11" s="419">
        <v>161.76</v>
      </c>
      <c r="F11" s="419">
        <f t="shared" ref="F11:F19" si="5">C11*E11</f>
        <v>79262.399999999994</v>
      </c>
      <c r="G11" s="415">
        <f t="shared" si="0"/>
        <v>0.30064827454888005</v>
      </c>
      <c r="H11" s="467">
        <f t="shared" si="1"/>
        <v>19590.088531076897</v>
      </c>
      <c r="I11" s="467">
        <f t="shared" si="2"/>
        <v>98852.488531076888</v>
      </c>
      <c r="J11" s="467">
        <f t="shared" ref="J11:J19" si="6">I11/C11</f>
        <v>201.7397725124018</v>
      </c>
      <c r="K11" s="468">
        <v>201.74</v>
      </c>
      <c r="L11" s="302">
        <f t="shared" si="3"/>
        <v>98852.488531076888</v>
      </c>
      <c r="M11" s="302">
        <f t="shared" si="4"/>
        <v>98852.6</v>
      </c>
      <c r="Q11" s="480">
        <f t="shared" ref="Q11:Q20" si="7">J11-K11</f>
        <v>-2.2748759820956366E-4</v>
      </c>
    </row>
    <row r="12" spans="1:17" s="471" customFormat="1" ht="8.1" customHeight="1" x14ac:dyDescent="0.15">
      <c r="A12" s="472" t="s">
        <v>234</v>
      </c>
      <c r="B12" s="466"/>
      <c r="C12" s="420">
        <v>155</v>
      </c>
      <c r="D12" s="419"/>
      <c r="E12" s="419">
        <v>141.75</v>
      </c>
      <c r="F12" s="419">
        <f t="shared" si="5"/>
        <v>21971.25</v>
      </c>
      <c r="G12" s="415">
        <f t="shared" si="0"/>
        <v>8.3338612030194409E-2</v>
      </c>
      <c r="H12" s="467">
        <f t="shared" si="1"/>
        <v>5430.3015381621472</v>
      </c>
      <c r="I12" s="467">
        <f t="shared" si="2"/>
        <v>27401.551538162148</v>
      </c>
      <c r="J12" s="467">
        <f t="shared" si="6"/>
        <v>176.78420347201387</v>
      </c>
      <c r="K12" s="468">
        <v>176.78</v>
      </c>
      <c r="L12" s="302">
        <f t="shared" si="3"/>
        <v>27401.551538162152</v>
      </c>
      <c r="M12" s="302">
        <f t="shared" si="4"/>
        <v>27400.9</v>
      </c>
      <c r="Q12" s="480">
        <f t="shared" si="7"/>
        <v>4.2034720138701687E-3</v>
      </c>
    </row>
    <row r="13" spans="1:17" s="471" customFormat="1" ht="8.1" customHeight="1" x14ac:dyDescent="0.15">
      <c r="A13" s="472" t="s">
        <v>235</v>
      </c>
      <c r="B13" s="466"/>
      <c r="C13" s="421">
        <v>52</v>
      </c>
      <c r="D13" s="419"/>
      <c r="E13" s="419">
        <v>141.75</v>
      </c>
      <c r="F13" s="419">
        <f t="shared" si="5"/>
        <v>7371</v>
      </c>
      <c r="G13" s="415">
        <f t="shared" si="0"/>
        <v>2.7958760164968444E-2</v>
      </c>
      <c r="H13" s="467">
        <f t="shared" si="1"/>
        <v>1821.7785805447199</v>
      </c>
      <c r="I13" s="467">
        <f t="shared" si="2"/>
        <v>9192.7785805447202</v>
      </c>
      <c r="J13" s="467">
        <f t="shared" si="6"/>
        <v>176.78420347201384</v>
      </c>
      <c r="K13" s="468">
        <v>176.78</v>
      </c>
      <c r="L13" s="302">
        <f t="shared" si="3"/>
        <v>9192.7785805447202</v>
      </c>
      <c r="M13" s="302">
        <f t="shared" si="4"/>
        <v>9192.56</v>
      </c>
      <c r="Q13" s="480">
        <f t="shared" si="7"/>
        <v>4.203472013841747E-3</v>
      </c>
    </row>
    <row r="14" spans="1:17" s="471" customFormat="1" ht="8.1" customHeight="1" x14ac:dyDescent="0.15">
      <c r="A14" s="472" t="s">
        <v>236</v>
      </c>
      <c r="B14" s="466"/>
      <c r="C14" s="420">
        <v>103</v>
      </c>
      <c r="D14" s="419"/>
      <c r="E14" s="419">
        <v>141.75</v>
      </c>
      <c r="F14" s="419">
        <f>C14*E14</f>
        <v>14600.25</v>
      </c>
      <c r="G14" s="415">
        <f t="shared" si="0"/>
        <v>5.5379851865225961E-2</v>
      </c>
      <c r="H14" s="467">
        <f t="shared" si="1"/>
        <v>3608.5229576174265</v>
      </c>
      <c r="I14" s="467">
        <f t="shared" si="2"/>
        <v>18208.772957617428</v>
      </c>
      <c r="J14" s="467">
        <f t="shared" si="6"/>
        <v>176.78420347201387</v>
      </c>
      <c r="K14" s="468">
        <v>176.78</v>
      </c>
      <c r="L14" s="302">
        <f t="shared" si="3"/>
        <v>18208.772957617428</v>
      </c>
      <c r="M14" s="302">
        <f t="shared" si="4"/>
        <v>18208.34</v>
      </c>
      <c r="Q14" s="480">
        <f t="shared" si="7"/>
        <v>4.2034720138701687E-3</v>
      </c>
    </row>
    <row r="15" spans="1:17" s="471" customFormat="1" ht="8.1" customHeight="1" x14ac:dyDescent="0.15">
      <c r="A15" s="472" t="s">
        <v>237</v>
      </c>
      <c r="B15" s="370"/>
      <c r="C15" s="420">
        <v>52</v>
      </c>
      <c r="D15" s="419"/>
      <c r="E15" s="419">
        <v>141.75</v>
      </c>
      <c r="F15" s="419">
        <f t="shared" si="5"/>
        <v>7371</v>
      </c>
      <c r="G15" s="415">
        <f t="shared" si="0"/>
        <v>2.7958760164968444E-2</v>
      </c>
      <c r="H15" s="467">
        <f t="shared" si="1"/>
        <v>1821.7785805447199</v>
      </c>
      <c r="I15" s="467">
        <f t="shared" si="2"/>
        <v>9192.7785805447202</v>
      </c>
      <c r="J15" s="467">
        <f t="shared" si="6"/>
        <v>176.78420347201384</v>
      </c>
      <c r="K15" s="468">
        <v>176.78</v>
      </c>
      <c r="L15" s="302">
        <f t="shared" si="3"/>
        <v>9192.7785805447202</v>
      </c>
      <c r="M15" s="302">
        <f t="shared" si="4"/>
        <v>9192.56</v>
      </c>
      <c r="Q15" s="480">
        <f t="shared" si="7"/>
        <v>4.203472013841747E-3</v>
      </c>
    </row>
    <row r="16" spans="1:17" s="471" customFormat="1" ht="8.1" customHeight="1" x14ac:dyDescent="0.15">
      <c r="A16" s="825" t="s">
        <v>240</v>
      </c>
      <c r="B16" s="825"/>
      <c r="C16" s="420">
        <v>103</v>
      </c>
      <c r="D16" s="419"/>
      <c r="E16" s="419">
        <v>171.75</v>
      </c>
      <c r="F16" s="419">
        <f t="shared" si="5"/>
        <v>17690.25</v>
      </c>
      <c r="G16" s="415">
        <f t="shared" si="0"/>
        <v>6.7100455434585954E-2</v>
      </c>
      <c r="H16" s="467">
        <f t="shared" si="1"/>
        <v>4372.2315200761414</v>
      </c>
      <c r="I16" s="467">
        <f t="shared" si="2"/>
        <v>22062.48152007614</v>
      </c>
      <c r="J16" s="467">
        <f t="shared" si="6"/>
        <v>214.19884970947709</v>
      </c>
      <c r="K16" s="468">
        <v>214.2</v>
      </c>
      <c r="L16" s="302">
        <f t="shared" si="3"/>
        <v>22062.48152007614</v>
      </c>
      <c r="M16" s="302">
        <f t="shared" si="4"/>
        <v>22062.6</v>
      </c>
      <c r="Q16" s="480">
        <f t="shared" si="7"/>
        <v>-1.150290522900832E-3</v>
      </c>
    </row>
    <row r="17" spans="1:17" s="471" customFormat="1" ht="8.1" customHeight="1" x14ac:dyDescent="0.15">
      <c r="A17" s="472" t="s">
        <v>238</v>
      </c>
      <c r="B17" s="466"/>
      <c r="C17" s="420">
        <v>52</v>
      </c>
      <c r="D17" s="419"/>
      <c r="E17" s="419">
        <v>169.79</v>
      </c>
      <c r="F17" s="419">
        <f t="shared" si="5"/>
        <v>8829.08</v>
      </c>
      <c r="G17" s="415">
        <f t="shared" si="0"/>
        <v>3.3489367819470844E-2</v>
      </c>
      <c r="H17" s="467">
        <f t="shared" si="1"/>
        <v>2182.1501600754004</v>
      </c>
      <c r="I17" s="467">
        <f t="shared" si="2"/>
        <v>11011.2301600754</v>
      </c>
      <c r="J17" s="467">
        <f t="shared" si="6"/>
        <v>211.75442615529616</v>
      </c>
      <c r="K17" s="468">
        <v>211.75</v>
      </c>
      <c r="L17" s="302">
        <f t="shared" si="3"/>
        <v>11011.2301600754</v>
      </c>
      <c r="M17" s="302">
        <f t="shared" si="4"/>
        <v>11011</v>
      </c>
      <c r="Q17" s="480">
        <f t="shared" si="7"/>
        <v>4.4261552961586403E-3</v>
      </c>
    </row>
    <row r="18" spans="1:17" s="471" customFormat="1" ht="8.1" customHeight="1" x14ac:dyDescent="0.15">
      <c r="A18" s="825" t="s">
        <v>243</v>
      </c>
      <c r="B18" s="825"/>
      <c r="C18" s="420">
        <v>52</v>
      </c>
      <c r="D18" s="419"/>
      <c r="E18" s="419">
        <v>171.33</v>
      </c>
      <c r="F18" s="419">
        <f t="shared" si="5"/>
        <v>8909.16</v>
      </c>
      <c r="G18" s="415">
        <f t="shared" si="0"/>
        <v>3.3793117312621121E-2</v>
      </c>
      <c r="H18" s="467">
        <f t="shared" si="1"/>
        <v>2201.9423224319357</v>
      </c>
      <c r="I18" s="467">
        <f t="shared" si="2"/>
        <v>11111.102322431936</v>
      </c>
      <c r="J18" s="467">
        <f t="shared" si="6"/>
        <v>213.67504466215263</v>
      </c>
      <c r="K18" s="468">
        <v>213.68</v>
      </c>
      <c r="L18" s="302">
        <f t="shared" si="3"/>
        <v>11111.102322431936</v>
      </c>
      <c r="M18" s="302">
        <f t="shared" si="4"/>
        <v>11111.36</v>
      </c>
      <c r="Q18" s="480">
        <f t="shared" si="7"/>
        <v>-4.9553378473774501E-3</v>
      </c>
    </row>
    <row r="19" spans="1:17" s="471" customFormat="1" ht="8.1" customHeight="1" x14ac:dyDescent="0.15">
      <c r="A19" s="472" t="s">
        <v>239</v>
      </c>
      <c r="B19" s="370"/>
      <c r="C19" s="420">
        <v>129</v>
      </c>
      <c r="D19" s="419"/>
      <c r="E19" s="419">
        <v>141.75</v>
      </c>
      <c r="F19" s="419">
        <f t="shared" si="5"/>
        <v>18285.75</v>
      </c>
      <c r="G19" s="415">
        <f t="shared" si="0"/>
        <v>6.9359231947710182E-2</v>
      </c>
      <c r="H19" s="467">
        <f>G19*$H$42</f>
        <v>4519.4122478897862</v>
      </c>
      <c r="I19" s="467">
        <f t="shared" si="2"/>
        <v>22805.162247889784</v>
      </c>
      <c r="J19" s="467">
        <f t="shared" si="6"/>
        <v>176.78420347201384</v>
      </c>
      <c r="K19" s="468">
        <v>176.78</v>
      </c>
      <c r="L19" s="302">
        <f t="shared" si="3"/>
        <v>22805.162247889784</v>
      </c>
      <c r="M19" s="302">
        <f t="shared" si="4"/>
        <v>22804.62</v>
      </c>
      <c r="N19" s="461" t="s">
        <v>25</v>
      </c>
      <c r="Q19" s="480">
        <f t="shared" si="7"/>
        <v>4.203472013841747E-3</v>
      </c>
    </row>
    <row r="20" spans="1:17" s="471" customFormat="1" ht="8.1" customHeight="1" x14ac:dyDescent="0.2">
      <c r="A20" s="818" t="s">
        <v>8</v>
      </c>
      <c r="B20" s="818"/>
      <c r="C20" s="415"/>
      <c r="D20" s="419">
        <f>SUM(D9:D19)</f>
        <v>0</v>
      </c>
      <c r="E20" s="419"/>
      <c r="F20" s="419">
        <f>SUM(F9:F19)</f>
        <v>263638.3</v>
      </c>
      <c r="G20" s="469">
        <f>SUM(G9:G19)</f>
        <v>1.0000000000000002</v>
      </c>
      <c r="H20" s="467">
        <f>SUM(H9:H19)</f>
        <v>65159.490971540225</v>
      </c>
      <c r="I20" s="470">
        <f>SUM(I9:I19)</f>
        <v>328797.79097154021</v>
      </c>
      <c r="J20" s="467"/>
      <c r="L20" s="302">
        <f>SUM(L9:L19)</f>
        <v>328797.79097154026</v>
      </c>
      <c r="M20" s="302">
        <f>SUM(M9:M19)</f>
        <v>328802.92</v>
      </c>
      <c r="N20" s="422">
        <f>L20-M20</f>
        <v>-5.1290284597198479</v>
      </c>
      <c r="O20" s="480">
        <v>263642.42</v>
      </c>
      <c r="P20" s="480">
        <f>O20-F20</f>
        <v>4.1199999999953434</v>
      </c>
      <c r="Q20" s="480">
        <f t="shared" si="7"/>
        <v>0</v>
      </c>
    </row>
    <row r="21" spans="1:17" s="471" customFormat="1" hidden="1" x14ac:dyDescent="0.25">
      <c r="A21" s="466"/>
      <c r="B21" s="466"/>
      <c r="C21" s="369"/>
      <c r="D21" s="369"/>
      <c r="E21" s="419"/>
      <c r="F21" s="419"/>
      <c r="G21" s="415"/>
      <c r="H21" s="415"/>
      <c r="I21" s="415"/>
      <c r="J21" s="415"/>
      <c r="K21" s="302"/>
      <c r="L21" s="302"/>
      <c r="M21" s="302"/>
    </row>
    <row r="22" spans="1:17" s="471" customFormat="1" hidden="1" x14ac:dyDescent="0.25">
      <c r="A22" s="466" t="s">
        <v>49</v>
      </c>
      <c r="B22" s="466"/>
      <c r="C22" s="369"/>
      <c r="D22" s="369"/>
      <c r="E22" s="415"/>
      <c r="F22" s="419">
        <v>0</v>
      </c>
      <c r="G22" s="415"/>
      <c r="H22" s="415"/>
      <c r="I22" s="415"/>
      <c r="J22" s="415"/>
      <c r="K22" s="302"/>
      <c r="L22" s="302"/>
      <c r="M22" s="302"/>
    </row>
    <row r="23" spans="1:17" s="471" customFormat="1" hidden="1" x14ac:dyDescent="0.25">
      <c r="A23" s="466" t="s">
        <v>50</v>
      </c>
      <c r="B23" s="466"/>
      <c r="C23" s="369"/>
      <c r="D23" s="369"/>
      <c r="E23" s="415">
        <f>SUM(E22)</f>
        <v>0</v>
      </c>
      <c r="F23" s="419"/>
      <c r="G23" s="415"/>
      <c r="H23" s="415"/>
      <c r="I23" s="415"/>
      <c r="J23" s="415"/>
      <c r="K23" s="302"/>
      <c r="L23" s="302"/>
      <c r="M23" s="302"/>
    </row>
    <row r="24" spans="1:17" s="471" customFormat="1" hidden="1" x14ac:dyDescent="0.25">
      <c r="A24" s="466"/>
      <c r="B24" s="466"/>
      <c r="C24" s="369"/>
      <c r="D24" s="369"/>
      <c r="E24" s="415"/>
      <c r="F24" s="419"/>
      <c r="G24" s="415"/>
      <c r="H24" s="415"/>
      <c r="I24" s="415"/>
      <c r="J24" s="415"/>
      <c r="K24" s="302"/>
      <c r="L24" s="302"/>
      <c r="M24" s="302"/>
    </row>
    <row r="25" spans="1:17" s="471" customFormat="1" hidden="1" x14ac:dyDescent="0.25">
      <c r="A25" s="466" t="s">
        <v>51</v>
      </c>
      <c r="B25" s="466"/>
      <c r="C25" s="369"/>
      <c r="D25" s="369"/>
      <c r="E25" s="415"/>
      <c r="F25" s="419">
        <v>0</v>
      </c>
      <c r="G25" s="415"/>
      <c r="H25" s="415"/>
      <c r="I25" s="415"/>
      <c r="J25" s="415"/>
      <c r="K25" s="302"/>
      <c r="L25" s="302"/>
      <c r="M25" s="302"/>
    </row>
    <row r="26" spans="1:17" s="471" customFormat="1" hidden="1" x14ac:dyDescent="0.25">
      <c r="A26" s="817" t="s">
        <v>52</v>
      </c>
      <c r="B26" s="817"/>
      <c r="C26" s="369"/>
      <c r="D26" s="369"/>
      <c r="E26" s="415">
        <f>SUM(E25)</f>
        <v>0</v>
      </c>
      <c r="F26" s="419"/>
      <c r="G26" s="415" t="e">
        <f>G20+#REF!</f>
        <v>#REF!</v>
      </c>
      <c r="H26" s="415"/>
      <c r="I26" s="415"/>
      <c r="J26" s="415"/>
      <c r="K26" s="302"/>
      <c r="L26" s="302"/>
      <c r="M26" s="302"/>
    </row>
    <row r="27" spans="1:17" s="471" customFormat="1" hidden="1" x14ac:dyDescent="0.25">
      <c r="A27" s="466"/>
      <c r="B27" s="466"/>
      <c r="C27" s="369"/>
      <c r="D27" s="369"/>
      <c r="E27" s="415"/>
      <c r="F27" s="419"/>
      <c r="G27" s="415"/>
      <c r="H27" s="415"/>
      <c r="I27" s="415"/>
      <c r="J27" s="415"/>
      <c r="K27" s="302"/>
      <c r="L27" s="302"/>
      <c r="M27" s="302"/>
    </row>
    <row r="28" spans="1:17" hidden="1" x14ac:dyDescent="0.2">
      <c r="A28" s="818"/>
      <c r="B28" s="818"/>
      <c r="G28" s="415"/>
      <c r="H28" s="415"/>
      <c r="I28" s="415"/>
      <c r="J28" s="415"/>
    </row>
    <row r="29" spans="1:17" hidden="1" x14ac:dyDescent="0.2">
      <c r="A29" s="818" t="s">
        <v>8</v>
      </c>
      <c r="B29" s="818"/>
      <c r="G29" s="434"/>
      <c r="H29" s="434"/>
      <c r="I29" s="434"/>
      <c r="J29" s="434"/>
    </row>
    <row r="30" spans="1:17" ht="8.1" customHeight="1" x14ac:dyDescent="0.2"/>
    <row r="31" spans="1:17" ht="8.1" customHeight="1" x14ac:dyDescent="0.2">
      <c r="B31" s="440" t="s">
        <v>9</v>
      </c>
      <c r="C31" s="440"/>
      <c r="D31" s="440"/>
      <c r="E31" s="441" t="s">
        <v>10</v>
      </c>
      <c r="F31" s="442" t="s">
        <v>144</v>
      </c>
      <c r="H31" s="433">
        <f>H20-H42</f>
        <v>0</v>
      </c>
      <c r="I31" s="433">
        <f>I20-F50</f>
        <v>0</v>
      </c>
      <c r="L31" s="434">
        <f>I20-L20</f>
        <v>0</v>
      </c>
      <c r="M31" s="434">
        <f>M20-E50</f>
        <v>4.0641306251636706</v>
      </c>
    </row>
    <row r="32" spans="1:17" ht="8.1" customHeight="1" x14ac:dyDescent="0.2">
      <c r="A32" s="439" t="s">
        <v>12</v>
      </c>
      <c r="E32" s="444" t="s">
        <v>13</v>
      </c>
      <c r="F32" s="445" t="s">
        <v>13</v>
      </c>
    </row>
    <row r="33" spans="1:19" ht="8.1" customHeight="1" x14ac:dyDescent="0.2">
      <c r="A33" s="439" t="s">
        <v>54</v>
      </c>
      <c r="B33" s="446">
        <v>0.05</v>
      </c>
      <c r="C33" s="447"/>
      <c r="D33" s="447"/>
      <c r="E33" s="433">
        <f>B33*O20</f>
        <v>13182.120999999999</v>
      </c>
      <c r="F33" s="433">
        <f>B33*F20</f>
        <v>13181.915000000001</v>
      </c>
      <c r="H33" s="477"/>
      <c r="I33" s="477"/>
      <c r="J33" s="477"/>
      <c r="K33" s="478"/>
    </row>
    <row r="34" spans="1:19" ht="8.1" customHeight="1" x14ac:dyDescent="0.2">
      <c r="A34" s="439" t="s">
        <v>15</v>
      </c>
      <c r="B34" s="446">
        <v>0.05</v>
      </c>
      <c r="E34" s="433">
        <f>E33</f>
        <v>13182.120999999999</v>
      </c>
      <c r="F34" s="433">
        <f>B34*F20</f>
        <v>13181.915000000001</v>
      </c>
      <c r="H34" s="479"/>
      <c r="I34" s="479"/>
      <c r="J34" s="479"/>
      <c r="K34" s="478"/>
      <c r="N34" s="480"/>
      <c r="O34" s="480"/>
      <c r="S34" s="476">
        <v>176.8</v>
      </c>
    </row>
    <row r="35" spans="1:19" ht="8.1" customHeight="1" x14ac:dyDescent="0.2">
      <c r="A35" s="439" t="s">
        <v>55</v>
      </c>
      <c r="B35" s="474">
        <v>3.5705399999999998E-2</v>
      </c>
      <c r="C35" s="447"/>
      <c r="D35" s="447"/>
      <c r="E35" s="433">
        <f>B35*(O20+E33+E34)</f>
        <v>10354.803869374799</v>
      </c>
      <c r="F35" s="433">
        <f>(F20+F33+F34)*B35</f>
        <v>10354.642052501998</v>
      </c>
      <c r="H35" s="481"/>
      <c r="I35" s="482"/>
      <c r="J35" s="461" t="s">
        <v>25</v>
      </c>
      <c r="L35" s="478"/>
      <c r="M35" s="478"/>
      <c r="N35" s="480"/>
      <c r="O35" s="480"/>
    </row>
    <row r="36" spans="1:19" ht="8.1" customHeight="1" x14ac:dyDescent="0.2">
      <c r="A36" s="439" t="s">
        <v>17</v>
      </c>
      <c r="B36" s="443"/>
      <c r="E36" s="462">
        <f>SUM(E33:E35)</f>
        <v>36719.045869374793</v>
      </c>
      <c r="F36" s="462">
        <f>SUM(F33:F35)+0.01</f>
        <v>36718.482052502004</v>
      </c>
      <c r="I36" s="478"/>
      <c r="J36" s="462">
        <f>F36-E36</f>
        <v>-0.56381687278917525</v>
      </c>
      <c r="L36" s="478"/>
      <c r="M36" s="478"/>
    </row>
    <row r="37" spans="1:19" ht="8.1" customHeight="1" x14ac:dyDescent="0.2">
      <c r="B37" s="443"/>
      <c r="E37" s="433"/>
    </row>
    <row r="38" spans="1:19" ht="8.1" customHeight="1" x14ac:dyDescent="0.2">
      <c r="A38" s="439" t="s">
        <v>18</v>
      </c>
      <c r="B38" s="443"/>
      <c r="E38" s="445" t="s">
        <v>13</v>
      </c>
    </row>
    <row r="39" spans="1:19" ht="8.1" customHeight="1" x14ac:dyDescent="0.2">
      <c r="A39" s="439" t="s">
        <v>19</v>
      </c>
      <c r="B39" s="446">
        <v>6.4999999999999997E-3</v>
      </c>
      <c r="C39" s="446"/>
      <c r="D39" s="446"/>
      <c r="E39" s="433">
        <v>2137.2199999999998</v>
      </c>
      <c r="F39" s="433">
        <f>B39*$E$48</f>
        <v>2137.1856413150113</v>
      </c>
    </row>
    <row r="40" spans="1:19" ht="8.1" customHeight="1" x14ac:dyDescent="0.2">
      <c r="A40" s="439" t="s">
        <v>20</v>
      </c>
      <c r="B40" s="446">
        <v>0.03</v>
      </c>
      <c r="C40" s="455"/>
      <c r="D40" s="455"/>
      <c r="E40" s="433">
        <v>9864.11</v>
      </c>
      <c r="F40" s="433">
        <f t="shared" ref="F40:F41" si="8">B40*$E$48</f>
        <v>9863.9337291462052</v>
      </c>
    </row>
    <row r="41" spans="1:19" ht="8.1" customHeight="1" x14ac:dyDescent="0.2">
      <c r="A41" s="439" t="s">
        <v>21</v>
      </c>
      <c r="B41" s="446">
        <v>0.05</v>
      </c>
      <c r="C41" s="455"/>
      <c r="D41" s="455"/>
      <c r="E41" s="433">
        <v>16440.18</v>
      </c>
      <c r="F41" s="433">
        <f t="shared" si="8"/>
        <v>16439.889548577012</v>
      </c>
      <c r="J41" s="461" t="s">
        <v>25</v>
      </c>
    </row>
    <row r="42" spans="1:19" ht="8.1" customHeight="1" x14ac:dyDescent="0.2">
      <c r="A42" s="439" t="s">
        <v>17</v>
      </c>
      <c r="B42" s="446">
        <f>SUM(B39:B41)</f>
        <v>8.6499999999999994E-2</v>
      </c>
      <c r="C42" s="446"/>
      <c r="D42" s="446"/>
      <c r="E42" s="433">
        <f>SUM(E39:E41)</f>
        <v>28441.510000000002</v>
      </c>
      <c r="F42" s="433">
        <f>SUM(F39:F41)</f>
        <v>28441.008919038228</v>
      </c>
      <c r="H42" s="491">
        <f>F36+F42</f>
        <v>65159.490971540232</v>
      </c>
      <c r="J42" s="462">
        <f>F42-E42</f>
        <v>-0.50108096177427797</v>
      </c>
    </row>
    <row r="43" spans="1:19" hidden="1" x14ac:dyDescent="0.2">
      <c r="A43" s="439" t="s">
        <v>155</v>
      </c>
      <c r="B43" s="446">
        <v>0</v>
      </c>
      <c r="C43" s="446"/>
      <c r="D43" s="446"/>
      <c r="E43" s="433">
        <v>0</v>
      </c>
      <c r="L43" s="483"/>
      <c r="M43" s="483"/>
    </row>
    <row r="44" spans="1:19" hidden="1" x14ac:dyDescent="0.2">
      <c r="A44" s="439" t="s">
        <v>156</v>
      </c>
      <c r="B44" s="446">
        <v>0</v>
      </c>
      <c r="C44" s="446"/>
      <c r="D44" s="446"/>
      <c r="E44" s="433">
        <v>0</v>
      </c>
    </row>
    <row r="45" spans="1:19" hidden="1" x14ac:dyDescent="0.2">
      <c r="A45" s="814" t="s">
        <v>58</v>
      </c>
      <c r="B45" s="814"/>
      <c r="E45" s="457">
        <f>F20+E36</f>
        <v>300357.34586937481</v>
      </c>
    </row>
    <row r="46" spans="1:19" hidden="1" x14ac:dyDescent="0.2">
      <c r="A46" s="814" t="s">
        <v>59</v>
      </c>
      <c r="B46" s="814"/>
      <c r="E46" s="457">
        <f>F20+F36</f>
        <v>300356.78205250198</v>
      </c>
      <c r="J46" s="433">
        <f>E50*2%</f>
        <v>6575.9771173874969</v>
      </c>
    </row>
    <row r="47" spans="1:19" hidden="1" x14ac:dyDescent="0.2">
      <c r="A47" s="458"/>
      <c r="B47" s="458"/>
      <c r="E47" s="457">
        <f>E46/(1-B42)</f>
        <v>328797.79097154021</v>
      </c>
    </row>
    <row r="48" spans="1:19" hidden="1" x14ac:dyDescent="0.2">
      <c r="A48" s="814" t="s">
        <v>60</v>
      </c>
      <c r="B48" s="814"/>
      <c r="E48" s="457">
        <f>E46/(1-B42)</f>
        <v>328797.79097154021</v>
      </c>
    </row>
    <row r="49" spans="1:13" s="485" customFormat="1" ht="8.1" customHeight="1" x14ac:dyDescent="0.2">
      <c r="A49" s="815" t="s">
        <v>24</v>
      </c>
      <c r="B49" s="815"/>
      <c r="C49" s="443"/>
      <c r="D49" s="443"/>
      <c r="E49" s="445" t="s">
        <v>10</v>
      </c>
      <c r="F49" s="442" t="s">
        <v>144</v>
      </c>
      <c r="H49" s="445"/>
      <c r="I49" s="445"/>
      <c r="J49" s="461" t="s">
        <v>25</v>
      </c>
      <c r="K49" s="484"/>
      <c r="L49" s="484"/>
      <c r="M49" s="484"/>
    </row>
    <row r="50" spans="1:13" ht="8.1" customHeight="1" x14ac:dyDescent="0.2">
      <c r="A50" s="815" t="s">
        <v>26</v>
      </c>
      <c r="B50" s="815"/>
      <c r="E50" s="462">
        <f>F20+E36+E42</f>
        <v>328798.85586937482</v>
      </c>
      <c r="F50" s="462">
        <f>F20+F36+F42</f>
        <v>328797.79097154021</v>
      </c>
      <c r="J50" s="462">
        <f>F50-E50</f>
        <v>-1.0648978346143849</v>
      </c>
    </row>
    <row r="51" spans="1:13" ht="8.1" customHeight="1" x14ac:dyDescent="0.2">
      <c r="A51" s="815" t="s">
        <v>27</v>
      </c>
      <c r="B51" s="815"/>
      <c r="E51" s="462">
        <f>E50*12</f>
        <v>3945586.2704324978</v>
      </c>
      <c r="F51" s="462">
        <f>F50*12</f>
        <v>3945573.4916584827</v>
      </c>
      <c r="J51" s="462">
        <f>F51-E51</f>
        <v>-12.778774015139788</v>
      </c>
    </row>
    <row r="52" spans="1:13" ht="33.75" customHeight="1" x14ac:dyDescent="0.15">
      <c r="A52" s="824"/>
      <c r="B52" s="824"/>
      <c r="C52" s="824"/>
      <c r="D52" s="824"/>
      <c r="E52" s="824"/>
      <c r="F52" s="824"/>
      <c r="G52" s="824"/>
      <c r="H52" s="824"/>
      <c r="I52" s="824"/>
      <c r="J52" s="824"/>
      <c r="K52" s="824"/>
      <c r="L52" s="824"/>
    </row>
    <row r="53" spans="1:13" x14ac:dyDescent="0.2">
      <c r="A53" s="486"/>
      <c r="B53" s="486"/>
      <c r="E53" s="433"/>
    </row>
    <row r="54" spans="1:13" x14ac:dyDescent="0.2">
      <c r="E54" s="445"/>
      <c r="G54" s="445"/>
      <c r="H54" s="445"/>
      <c r="I54" s="445"/>
      <c r="J54" s="445"/>
    </row>
    <row r="55" spans="1:13" x14ac:dyDescent="0.2">
      <c r="E55" s="433"/>
    </row>
    <row r="56" spans="1:13" x14ac:dyDescent="0.2">
      <c r="E56" s="433"/>
    </row>
    <row r="57" spans="1:13" x14ac:dyDescent="0.2">
      <c r="A57" s="476"/>
      <c r="B57" s="476"/>
      <c r="C57" s="476"/>
      <c r="D57" s="476"/>
      <c r="E57" s="433"/>
      <c r="H57" s="476"/>
      <c r="I57" s="476"/>
      <c r="J57" s="476"/>
      <c r="K57" s="476"/>
      <c r="L57" s="476"/>
      <c r="M57" s="476"/>
    </row>
    <row r="58" spans="1:13" x14ac:dyDescent="0.2">
      <c r="A58" s="476"/>
      <c r="B58" s="476"/>
      <c r="C58" s="476"/>
      <c r="D58" s="476"/>
      <c r="E58" s="433"/>
      <c r="H58" s="476"/>
      <c r="I58" s="476"/>
      <c r="J58" s="476"/>
      <c r="K58" s="476"/>
      <c r="L58" s="476"/>
      <c r="M58" s="476"/>
    </row>
    <row r="59" spans="1:13" x14ac:dyDescent="0.2">
      <c r="A59" s="476"/>
      <c r="B59" s="476"/>
      <c r="C59" s="476"/>
      <c r="D59" s="476"/>
      <c r="E59" s="433"/>
      <c r="H59" s="476"/>
      <c r="I59" s="476"/>
      <c r="J59" s="476"/>
      <c r="K59" s="476"/>
      <c r="L59" s="476"/>
      <c r="M59" s="476"/>
    </row>
    <row r="60" spans="1:13" x14ac:dyDescent="0.2">
      <c r="A60" s="476"/>
      <c r="B60" s="476"/>
      <c r="C60" s="476"/>
      <c r="D60" s="476"/>
      <c r="H60" s="476"/>
      <c r="I60" s="476"/>
      <c r="J60" s="476"/>
      <c r="K60" s="476"/>
      <c r="L60" s="476"/>
      <c r="M60" s="476"/>
    </row>
  </sheetData>
  <mergeCells count="19">
    <mergeCell ref="A1:F1"/>
    <mergeCell ref="A6:B6"/>
    <mergeCell ref="A7:B7"/>
    <mergeCell ref="A2:B2"/>
    <mergeCell ref="A5:B5"/>
    <mergeCell ref="A4:B4"/>
    <mergeCell ref="A50:B50"/>
    <mergeCell ref="A51:B51"/>
    <mergeCell ref="A52:L52"/>
    <mergeCell ref="A16:B16"/>
    <mergeCell ref="A20:B20"/>
    <mergeCell ref="A28:B28"/>
    <mergeCell ref="A29:B29"/>
    <mergeCell ref="A45:B45"/>
    <mergeCell ref="A46:B46"/>
    <mergeCell ref="A48:B48"/>
    <mergeCell ref="A49:B49"/>
    <mergeCell ref="A18:B18"/>
    <mergeCell ref="A26:B2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K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1" width="14.42578125" style="245"/>
    <col min="12" max="16384" width="14.42578125" style="191"/>
  </cols>
  <sheetData>
    <row r="1" spans="1:11" x14ac:dyDescent="0.25">
      <c r="A1" s="830" t="s">
        <v>165</v>
      </c>
      <c r="B1" s="830"/>
      <c r="C1" s="830"/>
      <c r="D1" s="830"/>
      <c r="E1" s="830"/>
      <c r="F1" s="830"/>
    </row>
    <row r="2" spans="1:11" s="248" customFormat="1" ht="22.5" customHeight="1" x14ac:dyDescent="0.25">
      <c r="A2" s="827" t="s">
        <v>28</v>
      </c>
      <c r="B2" s="827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1" ht="11.25" customHeight="1" x14ac:dyDescent="0.25">
      <c r="A3" s="831" t="s">
        <v>164</v>
      </c>
      <c r="B3" s="832"/>
      <c r="C3" s="249">
        <v>129</v>
      </c>
      <c r="D3" s="250">
        <v>88</v>
      </c>
      <c r="E3" s="251">
        <f>C3*D3</f>
        <v>11352</v>
      </c>
      <c r="F3" s="249">
        <v>150</v>
      </c>
      <c r="G3" s="244">
        <f>E3/$E$9</f>
        <v>1.0000184992851346</v>
      </c>
      <c r="H3" s="253">
        <f>G3*$G$21</f>
        <v>2938.9888016836144</v>
      </c>
      <c r="I3" s="244">
        <f>E3+H3</f>
        <v>14290.988801683614</v>
      </c>
      <c r="J3" s="291">
        <f>I3/C3</f>
        <v>110.78285892777996</v>
      </c>
    </row>
    <row r="4" spans="1:11" s="254" customFormat="1" ht="27" customHeight="1" x14ac:dyDescent="0.2">
      <c r="A4" s="827" t="s">
        <v>166</v>
      </c>
      <c r="B4" s="827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53"/>
    </row>
    <row r="5" spans="1:11" s="254" customFormat="1" ht="9.9499999999999993" customHeight="1" x14ac:dyDescent="0.2">
      <c r="A5" s="828" t="s">
        <v>169</v>
      </c>
      <c r="B5" s="829"/>
      <c r="C5" s="249">
        <v>0</v>
      </c>
      <c r="D5" s="246">
        <v>0</v>
      </c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53"/>
    </row>
    <row r="6" spans="1:11" s="254" customFormat="1" ht="9.9499999999999993" customHeight="1" x14ac:dyDescent="0.2">
      <c r="A6" s="255" t="s">
        <v>170</v>
      </c>
      <c r="B6" s="256"/>
      <c r="C6" s="249">
        <v>0</v>
      </c>
      <c r="D6" s="246">
        <v>0</v>
      </c>
      <c r="E6" s="251">
        <f t="shared" si="0"/>
        <v>0</v>
      </c>
      <c r="F6" s="252"/>
      <c r="G6" s="244">
        <f t="shared" si="1"/>
        <v>0</v>
      </c>
      <c r="H6" s="253">
        <f t="shared" ref="H6:H8" si="3">G6*$G$21</f>
        <v>0</v>
      </c>
      <c r="I6" s="244">
        <f t="shared" si="2"/>
        <v>0</v>
      </c>
      <c r="J6" s="291" t="e">
        <f t="shared" ref="J6" si="4">I6/C6</f>
        <v>#DIV/0!</v>
      </c>
      <c r="K6" s="253"/>
    </row>
    <row r="7" spans="1:11" s="254" customFormat="1" ht="9.9499999999999993" customHeight="1" x14ac:dyDescent="0.2">
      <c r="A7" s="255" t="s">
        <v>171</v>
      </c>
      <c r="B7" s="256"/>
      <c r="C7" s="249">
        <v>0</v>
      </c>
      <c r="D7" s="246">
        <v>0</v>
      </c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 t="e">
        <f>I7/C7</f>
        <v>#DIV/0!</v>
      </c>
      <c r="K7" s="253"/>
    </row>
    <row r="8" spans="1:11" ht="9.9499999999999993" customHeight="1" x14ac:dyDescent="0.25">
      <c r="A8" s="831"/>
      <c r="B8" s="832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</row>
    <row r="9" spans="1:11" ht="9.9499999999999993" customHeight="1" x14ac:dyDescent="0.25">
      <c r="A9" s="831" t="s">
        <v>8</v>
      </c>
      <c r="B9" s="832"/>
      <c r="C9" s="249"/>
      <c r="D9" s="257"/>
      <c r="E9" s="251">
        <f>SUM(E3:E8)-0.21</f>
        <v>11351.79</v>
      </c>
      <c r="F9" s="249">
        <f>SUM(F3:F8)</f>
        <v>160</v>
      </c>
      <c r="G9" s="244">
        <f>SUM(G3:G8)</f>
        <v>1.0000184992851346</v>
      </c>
      <c r="H9" s="244">
        <f>SUM(H3:H8)</f>
        <v>2938.9888016836144</v>
      </c>
      <c r="I9" s="244">
        <f>SUM(I3:I8)</f>
        <v>14290.988801683614</v>
      </c>
      <c r="J9" s="244"/>
    </row>
    <row r="10" spans="1:11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1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1" ht="9" customHeight="1" x14ac:dyDescent="0.25">
      <c r="A12" s="264" t="s">
        <v>54</v>
      </c>
      <c r="B12" s="267">
        <v>0.04</v>
      </c>
      <c r="C12" s="257">
        <f>B12*E9</f>
        <v>454.07160000000005</v>
      </c>
      <c r="D12" s="257">
        <f>B12*E9</f>
        <v>454.07160000000005</v>
      </c>
      <c r="E12" s="244"/>
      <c r="F12" s="244"/>
      <c r="H12" s="268"/>
      <c r="I12" s="269"/>
    </row>
    <row r="13" spans="1:11" ht="9" customHeight="1" x14ac:dyDescent="0.25">
      <c r="A13" s="264" t="s">
        <v>15</v>
      </c>
      <c r="B13" s="267">
        <v>0.04</v>
      </c>
      <c r="C13" s="257">
        <f>B13*E9</f>
        <v>454.07160000000005</v>
      </c>
      <c r="D13" s="257">
        <f>C13</f>
        <v>454.07160000000005</v>
      </c>
      <c r="E13" s="244"/>
      <c r="F13" s="244"/>
      <c r="I13" s="266"/>
    </row>
    <row r="14" spans="1:11" ht="9" customHeight="1" x14ac:dyDescent="0.25">
      <c r="A14" s="264" t="s">
        <v>105</v>
      </c>
      <c r="B14" s="267">
        <v>7.0000000000000007E-2</v>
      </c>
      <c r="C14" s="257">
        <f>(E9)*B14</f>
        <v>794.62530000000015</v>
      </c>
      <c r="D14" s="257">
        <f>(E9)*B14</f>
        <v>794.62530000000015</v>
      </c>
      <c r="E14" s="244">
        <f>D14-C14</f>
        <v>0</v>
      </c>
      <c r="F14" s="244"/>
      <c r="J14" s="290"/>
    </row>
    <row r="15" spans="1:11" ht="9" customHeight="1" x14ac:dyDescent="0.25">
      <c r="A15" s="264" t="s">
        <v>17</v>
      </c>
      <c r="B15" s="258"/>
      <c r="C15" s="270">
        <f>SUM(C12:C14)</f>
        <v>1702.7685000000001</v>
      </c>
      <c r="D15" s="270">
        <f>SUM(D12:D14)</f>
        <v>1702.7685000000001</v>
      </c>
      <c r="E15" s="244"/>
      <c r="F15" s="244"/>
    </row>
    <row r="16" spans="1:11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92.889578817733991</v>
      </c>
      <c r="D18" s="257">
        <f>B18*C27</f>
        <v>92.889578817733991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5">D19</f>
        <v>428.73113300492611</v>
      </c>
      <c r="D19" s="257">
        <f>B19*C27+0.01</f>
        <v>428.73113300492611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5"/>
        <v>714.54522167487698</v>
      </c>
      <c r="D20" s="257">
        <f>B20*C27+0.01</f>
        <v>714.54522167487698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1236.165933497537</v>
      </c>
      <c r="D21" s="270">
        <f>SUM(D18:D20)</f>
        <v>1236.165933497537</v>
      </c>
      <c r="E21" s="244"/>
      <c r="F21" s="244"/>
      <c r="G21" s="244">
        <f>D15+D21</f>
        <v>2938.9344334975372</v>
      </c>
    </row>
    <row r="22" spans="1:11" ht="9" customHeight="1" x14ac:dyDescent="0.25">
      <c r="A22" s="833"/>
      <c r="B22" s="832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7" t="s">
        <v>58</v>
      </c>
      <c r="B25" s="837"/>
      <c r="C25" s="278">
        <f>E9+C15</f>
        <v>13054.558500000001</v>
      </c>
      <c r="D25" s="279"/>
      <c r="E25" s="244"/>
      <c r="F25" s="244"/>
    </row>
    <row r="26" spans="1:11" ht="9" customHeight="1" x14ac:dyDescent="0.25">
      <c r="A26" s="838" t="s">
        <v>22</v>
      </c>
      <c r="B26" s="838"/>
      <c r="C26" s="280">
        <f>E9+D15</f>
        <v>13054.558500000001</v>
      </c>
      <c r="D26" s="244"/>
      <c r="E26" s="244"/>
      <c r="F26" s="244"/>
    </row>
    <row r="27" spans="1:11" ht="9" customHeight="1" x14ac:dyDescent="0.25">
      <c r="A27" s="839" t="s">
        <v>60</v>
      </c>
      <c r="B27" s="839"/>
      <c r="C27" s="281">
        <f>C26/(1-B21)</f>
        <v>14290.704433497538</v>
      </c>
      <c r="D27" s="244"/>
      <c r="E27" s="244"/>
      <c r="F27" s="244"/>
    </row>
    <row r="28" spans="1:11" s="286" customFormat="1" ht="9.9499999999999993" customHeight="1" x14ac:dyDescent="0.25">
      <c r="A28" s="834" t="s">
        <v>24</v>
      </c>
      <c r="B28" s="834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4" t="s">
        <v>26</v>
      </c>
      <c r="B29" s="834"/>
      <c r="C29" s="270">
        <f>E9+C15+C21+C23+C24-0.02</f>
        <v>14290.704433497538</v>
      </c>
      <c r="D29" s="270">
        <f>E9+D15+D21-0.02</f>
        <v>14290.704433497538</v>
      </c>
      <c r="E29" s="287">
        <f>D29-C29</f>
        <v>0</v>
      </c>
      <c r="F29" s="279"/>
    </row>
    <row r="30" spans="1:11" ht="9.9499999999999993" customHeight="1" x14ac:dyDescent="0.25">
      <c r="A30" s="835" t="s">
        <v>157</v>
      </c>
      <c r="B30" s="836"/>
      <c r="C30" s="270">
        <f>C29*12-0.02</f>
        <v>171488.43320197047</v>
      </c>
      <c r="D30" s="270">
        <f>D29*12-0.02</f>
        <v>171488.43320197047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8:B8"/>
    <mergeCell ref="A25:B25"/>
    <mergeCell ref="A26:B26"/>
    <mergeCell ref="A27:B27"/>
    <mergeCell ref="A28:B28"/>
    <mergeCell ref="A4:B4"/>
    <mergeCell ref="A5:B5"/>
    <mergeCell ref="A1:F1"/>
    <mergeCell ref="A3:B3"/>
    <mergeCell ref="A22:B22"/>
    <mergeCell ref="A9:B9"/>
    <mergeCell ref="A2:B2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/>
  <dimension ref="A1:M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4.2851562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0" t="s">
        <v>173</v>
      </c>
      <c r="B1" s="830"/>
      <c r="C1" s="830"/>
      <c r="D1" s="830"/>
      <c r="E1" s="830"/>
      <c r="F1" s="830"/>
    </row>
    <row r="2" spans="1:13" s="248" customFormat="1" ht="22.5" customHeight="1" x14ac:dyDescent="0.25">
      <c r="A2" s="827" t="s">
        <v>28</v>
      </c>
      <c r="B2" s="827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1" t="s">
        <v>164</v>
      </c>
      <c r="B3" s="832"/>
      <c r="C3" s="249">
        <v>129</v>
      </c>
      <c r="D3" s="250">
        <v>96.96</v>
      </c>
      <c r="E3" s="251">
        <f>C3*D3</f>
        <v>12507.839999999998</v>
      </c>
      <c r="F3" s="249">
        <v>150</v>
      </c>
      <c r="G3" s="244">
        <f>E3/$E$9</f>
        <v>7.0226300804743721E-2</v>
      </c>
      <c r="H3" s="253">
        <f>G3*$G$21</f>
        <v>4018.6855986026467</v>
      </c>
      <c r="I3" s="244">
        <f>E3+H3</f>
        <v>16526.525598602646</v>
      </c>
      <c r="J3" s="291">
        <f>I3/C3</f>
        <v>128.11260153955538</v>
      </c>
      <c r="K3" s="244">
        <f>J3*C3</f>
        <v>16526.525598602646</v>
      </c>
      <c r="L3" s="294">
        <v>121.96</v>
      </c>
      <c r="M3" s="244">
        <f>L3*C3</f>
        <v>15732.839999999998</v>
      </c>
    </row>
    <row r="4" spans="1:13" s="254" customFormat="1" ht="27" customHeight="1" x14ac:dyDescent="0.2">
      <c r="A4" s="827" t="s">
        <v>166</v>
      </c>
      <c r="B4" s="827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2" t="s">
        <v>174</v>
      </c>
      <c r="B5" s="843"/>
      <c r="C5" s="249">
        <v>720</v>
      </c>
      <c r="D5" s="246">
        <v>46</v>
      </c>
      <c r="E5" s="251">
        <f t="shared" ref="E5:E7" si="0">C5*D5</f>
        <v>33120</v>
      </c>
      <c r="F5" s="252"/>
      <c r="G5" s="244">
        <f t="shared" ref="G5:G8" si="1">E5/$E$9</f>
        <v>0.18595497565152036</v>
      </c>
      <c r="H5" s="253">
        <f>G5*$G$21</f>
        <v>10641.235179353085</v>
      </c>
      <c r="I5" s="244">
        <f t="shared" ref="I5:I8" si="2">E5+H5</f>
        <v>43761.235179353083</v>
      </c>
      <c r="J5" s="291">
        <f>I5/C5</f>
        <v>60.779493304657059</v>
      </c>
      <c r="K5" s="244">
        <f t="shared" ref="K5:K6" si="3">J5*C5</f>
        <v>43761.235179353083</v>
      </c>
      <c r="L5" s="294">
        <v>61</v>
      </c>
      <c r="M5" s="244">
        <f t="shared" ref="M5:M6" si="4">L5*C5</f>
        <v>43920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46</v>
      </c>
      <c r="E6" s="251">
        <f t="shared" si="0"/>
        <v>132480</v>
      </c>
      <c r="F6" s="252"/>
      <c r="G6" s="244">
        <f t="shared" si="1"/>
        <v>0.74381990260608144</v>
      </c>
      <c r="H6" s="253">
        <f t="shared" ref="H6:H8" si="5">G6*$G$21</f>
        <v>42564.940717412341</v>
      </c>
      <c r="I6" s="244">
        <f t="shared" si="2"/>
        <v>175044.94071741233</v>
      </c>
      <c r="J6" s="291">
        <f t="shared" ref="J6" si="6">I6/C6</f>
        <v>60.779493304657059</v>
      </c>
      <c r="K6" s="244">
        <f t="shared" si="3"/>
        <v>175044.94071741233</v>
      </c>
      <c r="L6" s="294">
        <v>61</v>
      </c>
      <c r="M6" s="244">
        <f t="shared" si="4"/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5"/>
        <v>0</v>
      </c>
      <c r="I7" s="244">
        <f t="shared" si="2"/>
        <v>0</v>
      </c>
      <c r="J7" s="291"/>
      <c r="K7" s="244"/>
      <c r="L7" s="294"/>
      <c r="M7" s="244"/>
    </row>
    <row r="8" spans="1:13" ht="9.9499999999999993" customHeight="1" x14ac:dyDescent="0.25">
      <c r="A8" s="831"/>
      <c r="B8" s="832"/>
      <c r="C8" s="249"/>
      <c r="D8" s="250"/>
      <c r="E8" s="251"/>
      <c r="F8" s="249">
        <v>10</v>
      </c>
      <c r="G8" s="244">
        <f t="shared" si="1"/>
        <v>0</v>
      </c>
      <c r="H8" s="253">
        <f t="shared" si="5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1" t="s">
        <v>8</v>
      </c>
      <c r="B9" s="832"/>
      <c r="C9" s="249"/>
      <c r="D9" s="257"/>
      <c r="E9" s="251">
        <f>SUM(E3:E8)-0.21</f>
        <v>178107.63</v>
      </c>
      <c r="F9" s="249">
        <f>SUM(F3:F8)</f>
        <v>160</v>
      </c>
      <c r="G9" s="244">
        <f>SUM(G3:G8)</f>
        <v>1.0000011790623455</v>
      </c>
      <c r="H9" s="244">
        <f>SUM(H3:H8)</f>
        <v>57224.861495368074</v>
      </c>
      <c r="I9" s="244">
        <f>SUM(I3:I8)</f>
        <v>235332.70149536806</v>
      </c>
      <c r="J9" s="244"/>
      <c r="K9" s="244">
        <f>SUM(K3:K8)</f>
        <v>235332.70149536806</v>
      </c>
      <c r="L9" s="294"/>
      <c r="M9" s="244">
        <f>SUM(M3:M8)</f>
        <v>235332.84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8905.3815000000013</v>
      </c>
      <c r="D12" s="257">
        <f>B12*E9</f>
        <v>8905.3815000000013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8905.3815000000013</v>
      </c>
      <c r="D13" s="257">
        <f>B13*E9</f>
        <v>8905.3815000000013</v>
      </c>
      <c r="E13" s="244"/>
      <c r="F13" s="244"/>
      <c r="G13" s="244">
        <f>G3*C13</f>
        <v>625.39199999999994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19057.758075712249</v>
      </c>
      <c r="D14" s="257">
        <f>(E9+D12+D13)*B14</f>
        <v>19057.758075712249</v>
      </c>
      <c r="E14" s="244">
        <f>D14-C14</f>
        <v>0</v>
      </c>
      <c r="F14" s="244"/>
      <c r="G14" s="244">
        <f>19057.83/B14</f>
        <v>195919.13239918946</v>
      </c>
      <c r="H14" s="244">
        <f>G14-E9</f>
        <v>17811.502399189456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36868.521075712255</v>
      </c>
      <c r="D15" s="270">
        <f>SUM(D12:D14)</f>
        <v>36868.521075712255</v>
      </c>
      <c r="E15" s="244"/>
      <c r="F15" s="244"/>
      <c r="H15" s="841" t="s">
        <v>178</v>
      </c>
      <c r="I15" s="840" t="s">
        <v>177</v>
      </c>
      <c r="J15" s="840"/>
    </row>
    <row r="16" spans="1:13" ht="9" customHeight="1" x14ac:dyDescent="0.25">
      <c r="A16" s="264"/>
      <c r="B16" s="258"/>
      <c r="C16" s="257"/>
      <c r="D16" s="257"/>
      <c r="E16" s="244"/>
      <c r="F16" s="244"/>
      <c r="H16" s="841"/>
      <c r="I16" s="260" t="s">
        <v>143</v>
      </c>
      <c r="J16" s="260" t="s">
        <v>11</v>
      </c>
      <c r="K16" s="28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  <c r="H17" s="296" t="s">
        <v>164</v>
      </c>
      <c r="I17" s="257">
        <v>121.96</v>
      </c>
      <c r="J17" s="257">
        <v>128.11000000000001</v>
      </c>
      <c r="K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1529.6606261544932</v>
      </c>
      <c r="D18" s="257">
        <f>B18*C27</f>
        <v>1529.6606261544932</v>
      </c>
      <c r="E18" s="244"/>
      <c r="F18" s="244"/>
      <c r="H18" s="296" t="s">
        <v>174</v>
      </c>
      <c r="I18" s="257">
        <v>61</v>
      </c>
      <c r="J18" s="257">
        <v>60.78</v>
      </c>
      <c r="K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7059.9821207130462</v>
      </c>
      <c r="D19" s="257">
        <f>B19*C27+0.01</f>
        <v>7059.9821207130462</v>
      </c>
      <c r="E19" s="244"/>
      <c r="F19" s="244"/>
      <c r="H19" s="296" t="s">
        <v>175</v>
      </c>
      <c r="I19" s="257">
        <v>61</v>
      </c>
      <c r="J19" s="257">
        <v>60.78</v>
      </c>
      <c r="K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11766.630201188411</v>
      </c>
      <c r="D20" s="257">
        <f>B20*C27+0.01</f>
        <v>11766.630201188411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20356.27294805595</v>
      </c>
      <c r="D21" s="270">
        <f>SUM(D18:D20)</f>
        <v>20356.27294805595</v>
      </c>
      <c r="E21" s="244"/>
      <c r="F21" s="244"/>
      <c r="G21" s="244">
        <f>D15+D21</f>
        <v>57224.794023768205</v>
      </c>
    </row>
    <row r="22" spans="1:11" ht="9" customHeight="1" x14ac:dyDescent="0.25">
      <c r="A22" s="833"/>
      <c r="B22" s="832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7" t="s">
        <v>58</v>
      </c>
      <c r="B25" s="837"/>
      <c r="C25" s="278">
        <f>E9+C15</f>
        <v>214976.15107571226</v>
      </c>
      <c r="D25" s="279"/>
      <c r="E25" s="244"/>
      <c r="F25" s="244"/>
    </row>
    <row r="26" spans="1:11" ht="9" customHeight="1" x14ac:dyDescent="0.25">
      <c r="A26" s="838" t="s">
        <v>22</v>
      </c>
      <c r="B26" s="838"/>
      <c r="C26" s="280">
        <f>E9+D15</f>
        <v>214976.15107571226</v>
      </c>
      <c r="D26" s="244"/>
      <c r="E26" s="244"/>
      <c r="F26" s="244"/>
    </row>
    <row r="27" spans="1:11" ht="9" customHeight="1" x14ac:dyDescent="0.25">
      <c r="A27" s="839" t="s">
        <v>60</v>
      </c>
      <c r="B27" s="839"/>
      <c r="C27" s="281">
        <f>C26/(1-B21)</f>
        <v>235332.40402376821</v>
      </c>
      <c r="D27" s="244"/>
      <c r="E27" s="244"/>
      <c r="F27" s="244"/>
    </row>
    <row r="28" spans="1:11" s="286" customFormat="1" ht="9.9499999999999993" customHeight="1" x14ac:dyDescent="0.25">
      <c r="A28" s="834" t="s">
        <v>24</v>
      </c>
      <c r="B28" s="834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4" t="s">
        <v>26</v>
      </c>
      <c r="B29" s="834"/>
      <c r="C29" s="270">
        <f>E9+C15+C21+C23+C24-0.02</f>
        <v>235332.40402376823</v>
      </c>
      <c r="D29" s="270">
        <f>E9+D15+D21-0.02</f>
        <v>235332.40402376823</v>
      </c>
      <c r="E29" s="287">
        <f>D29-C29</f>
        <v>0</v>
      </c>
      <c r="F29" s="279"/>
    </row>
    <row r="30" spans="1:11" ht="9.9499999999999993" customHeight="1" x14ac:dyDescent="0.25">
      <c r="A30" s="835" t="s">
        <v>157</v>
      </c>
      <c r="B30" s="836"/>
      <c r="C30" s="270">
        <f>C29*12-0.02</f>
        <v>2823988.8282852187</v>
      </c>
      <c r="D30" s="270">
        <f>D29*12-0.02</f>
        <v>2823988.8282852187</v>
      </c>
      <c r="E30" s="287">
        <f>D30-C30</f>
        <v>0</v>
      </c>
      <c r="F30" s="279"/>
    </row>
    <row r="31" spans="1:11" x14ac:dyDescent="0.25">
      <c r="H31" s="295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6">
    <mergeCell ref="A2:B2"/>
    <mergeCell ref="A4:B4"/>
    <mergeCell ref="A5:B5"/>
    <mergeCell ref="A1:F1"/>
    <mergeCell ref="A3:B3"/>
    <mergeCell ref="A8:B8"/>
    <mergeCell ref="A9:B9"/>
    <mergeCell ref="A22:B22"/>
    <mergeCell ref="A25:B25"/>
    <mergeCell ref="A26:B26"/>
    <mergeCell ref="A27:B27"/>
    <mergeCell ref="A28:B28"/>
    <mergeCell ref="A29:B29"/>
    <mergeCell ref="A30:B30"/>
    <mergeCell ref="I15:J15"/>
    <mergeCell ref="H15:H1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/>
  <dimension ref="A1:M50"/>
  <sheetViews>
    <sheetView zoomScale="120" zoomScaleNormal="12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0" t="s">
        <v>173</v>
      </c>
      <c r="B1" s="830"/>
      <c r="C1" s="830"/>
      <c r="D1" s="830"/>
      <c r="E1" s="830"/>
      <c r="F1" s="830"/>
    </row>
    <row r="2" spans="1:13" s="248" customFormat="1" ht="22.5" customHeight="1" x14ac:dyDescent="0.25">
      <c r="A2" s="844" t="s">
        <v>28</v>
      </c>
      <c r="B2" s="845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1" t="s">
        <v>164</v>
      </c>
      <c r="B3" s="832"/>
      <c r="C3" s="249"/>
      <c r="D3" s="250"/>
      <c r="E3" s="251">
        <f>C3*D3</f>
        <v>0</v>
      </c>
      <c r="F3" s="249">
        <v>150</v>
      </c>
      <c r="G3" s="244">
        <f>E3/$E$9</f>
        <v>0</v>
      </c>
      <c r="H3" s="253">
        <f>G3*$G$21</f>
        <v>0</v>
      </c>
      <c r="I3" s="244">
        <f>E3+H3</f>
        <v>0</v>
      </c>
      <c r="J3" s="291" t="e">
        <f>I3/C3</f>
        <v>#DIV/0!</v>
      </c>
      <c r="K3" s="244" t="e">
        <f>J3*C3</f>
        <v>#DIV/0!</v>
      </c>
      <c r="L3" s="294">
        <v>121.96</v>
      </c>
      <c r="M3" s="244">
        <f>L3*C3</f>
        <v>0</v>
      </c>
    </row>
    <row r="4" spans="1:13" s="254" customFormat="1" ht="27" customHeight="1" x14ac:dyDescent="0.2">
      <c r="A4" s="844" t="s">
        <v>166</v>
      </c>
      <c r="B4" s="845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2" t="s">
        <v>174</v>
      </c>
      <c r="B5" s="843"/>
      <c r="C5" s="249"/>
      <c r="D5" s="246"/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44" t="e">
        <f>J5*C5</f>
        <v>#DIV/0!</v>
      </c>
      <c r="L5" s="294">
        <v>61</v>
      </c>
      <c r="M5" s="244">
        <f>L5*C5</f>
        <v>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23</v>
      </c>
      <c r="E6" s="251">
        <f t="shared" si="0"/>
        <v>66240</v>
      </c>
      <c r="F6" s="252"/>
      <c r="G6" s="244">
        <f t="shared" si="1"/>
        <v>1.0000031702999059</v>
      </c>
      <c r="H6" s="253">
        <f t="shared" ref="H6:H8" si="3">G6*$G$21</f>
        <v>21282.48292057055</v>
      </c>
      <c r="I6" s="244">
        <f t="shared" si="2"/>
        <v>87522.482920570546</v>
      </c>
      <c r="J6" s="291">
        <f t="shared" ref="J6" si="4">I6/C6</f>
        <v>30.389751014086997</v>
      </c>
      <c r="K6" s="244">
        <f t="shared" ref="K6" si="5">J6*C6</f>
        <v>87522.482920570546</v>
      </c>
      <c r="L6" s="294">
        <v>61</v>
      </c>
      <c r="M6" s="244">
        <f t="shared" ref="M6" si="6">L6*C6</f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/>
      <c r="K7" s="244" t="e">
        <f>SUM(K5:K6)</f>
        <v>#DIV/0!</v>
      </c>
      <c r="L7" s="294"/>
      <c r="M7" s="244"/>
    </row>
    <row r="8" spans="1:13" ht="9.9499999999999993" customHeight="1" x14ac:dyDescent="0.25">
      <c r="A8" s="831"/>
      <c r="B8" s="832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1" t="s">
        <v>8</v>
      </c>
      <c r="B9" s="832"/>
      <c r="C9" s="249"/>
      <c r="D9" s="257"/>
      <c r="E9" s="251">
        <f>SUM(E3:E8)-0.21</f>
        <v>66239.789999999994</v>
      </c>
      <c r="F9" s="249">
        <f>SUM(F3:F8)</f>
        <v>160</v>
      </c>
      <c r="G9" s="244">
        <f>SUM(G3:G8)</f>
        <v>1.0000031702999059</v>
      </c>
      <c r="H9" s="244">
        <f>SUM(H3:H8)</f>
        <v>21282.48292057055</v>
      </c>
      <c r="I9" s="244">
        <f>SUM(I3:I8)</f>
        <v>87522.482920570546</v>
      </c>
      <c r="J9" s="244"/>
      <c r="K9" s="244" t="e">
        <f>SUM(K3:K8)</f>
        <v>#DIV/0!</v>
      </c>
      <c r="L9" s="294"/>
      <c r="M9" s="244">
        <f>SUM(M3:M8)</f>
        <v>175680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3311.9894999999997</v>
      </c>
      <c r="D12" s="257">
        <f>B12*E9</f>
        <v>3311.9894999999997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3311.9894999999997</v>
      </c>
      <c r="D13" s="257">
        <f>B13*E9</f>
        <v>3311.9894999999997</v>
      </c>
      <c r="E13" s="244"/>
      <c r="F13" s="244"/>
      <c r="G13" s="244">
        <f>G3*C13</f>
        <v>0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7087.7474075983346</v>
      </c>
      <c r="D14" s="257">
        <f>(E9+D12+D13)*B14</f>
        <v>7087.7474075983346</v>
      </c>
      <c r="E14" s="244">
        <f>D14-C14</f>
        <v>0</v>
      </c>
      <c r="F14" s="244"/>
      <c r="G14" s="244">
        <f>19057.83/B14</f>
        <v>195919.13239918946</v>
      </c>
      <c r="H14" s="244">
        <f>G14-E9</f>
        <v>129679.34239918947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13711.726407598333</v>
      </c>
      <c r="D15" s="270">
        <f>SUM(D12:D14)</f>
        <v>13711.726407598333</v>
      </c>
      <c r="E15" s="244"/>
      <c r="F15" s="244"/>
    </row>
    <row r="16" spans="1:13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568.89420541805055</v>
      </c>
      <c r="D18" s="257">
        <f>B18*C27</f>
        <v>568.89420541805055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2625.6755634679262</v>
      </c>
      <c r="D19" s="257">
        <f>B19*C27+0.01</f>
        <v>2625.6755634679262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4376.1192724465436</v>
      </c>
      <c r="D20" s="257">
        <f>B20*C27+0.01</f>
        <v>4376.1192724465436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7570.68904133252</v>
      </c>
      <c r="D21" s="270">
        <f>SUM(D18:D20)</f>
        <v>7570.68904133252</v>
      </c>
      <c r="E21" s="244"/>
      <c r="F21" s="244"/>
      <c r="G21" s="244">
        <f>D15+D21</f>
        <v>21282.415448930853</v>
      </c>
    </row>
    <row r="22" spans="1:11" ht="9" customHeight="1" x14ac:dyDescent="0.25">
      <c r="A22" s="833"/>
      <c r="B22" s="832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7" t="s">
        <v>58</v>
      </c>
      <c r="B25" s="846"/>
      <c r="C25" s="278">
        <f>E9+C15</f>
        <v>79951.516407598334</v>
      </c>
      <c r="D25" s="279"/>
      <c r="E25" s="244"/>
      <c r="F25" s="244"/>
    </row>
    <row r="26" spans="1:11" ht="9" customHeight="1" x14ac:dyDescent="0.25">
      <c r="A26" s="847" t="s">
        <v>22</v>
      </c>
      <c r="B26" s="848"/>
      <c r="C26" s="280">
        <f>E9+D15</f>
        <v>79951.516407598334</v>
      </c>
      <c r="D26" s="244"/>
      <c r="E26" s="244"/>
      <c r="F26" s="244"/>
    </row>
    <row r="27" spans="1:11" ht="9" customHeight="1" x14ac:dyDescent="0.25">
      <c r="A27" s="831" t="s">
        <v>60</v>
      </c>
      <c r="B27" s="832"/>
      <c r="C27" s="281">
        <f>C26/(1-B21)</f>
        <v>87522.185448930861</v>
      </c>
      <c r="D27" s="244"/>
      <c r="E27" s="244"/>
      <c r="F27" s="244"/>
    </row>
    <row r="28" spans="1:11" s="286" customFormat="1" ht="9.9499999999999993" customHeight="1" x14ac:dyDescent="0.25">
      <c r="A28" s="835" t="s">
        <v>24</v>
      </c>
      <c r="B28" s="836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5" t="s">
        <v>26</v>
      </c>
      <c r="B29" s="836"/>
      <c r="C29" s="270">
        <f>E9+C15+C21+C23+C24-0.02</f>
        <v>87522.185448930846</v>
      </c>
      <c r="D29" s="270">
        <f>E9+D15+D21-0.02</f>
        <v>87522.185448930846</v>
      </c>
      <c r="E29" s="287">
        <f>D29-C29</f>
        <v>0</v>
      </c>
      <c r="F29" s="279"/>
    </row>
    <row r="30" spans="1:11" ht="9.9499999999999993" customHeight="1" x14ac:dyDescent="0.25">
      <c r="A30" s="835" t="s">
        <v>157</v>
      </c>
      <c r="B30" s="836"/>
      <c r="C30" s="270">
        <f>C29*12-0.02</f>
        <v>1050266.2053871702</v>
      </c>
      <c r="D30" s="270">
        <f>D29*12-0.02</f>
        <v>1050266.2053871702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9:B9"/>
    <mergeCell ref="A22:B22"/>
    <mergeCell ref="A25:B25"/>
    <mergeCell ref="A26:B26"/>
    <mergeCell ref="A27:B27"/>
    <mergeCell ref="A28:B28"/>
    <mergeCell ref="A8:B8"/>
    <mergeCell ref="A1:F1"/>
    <mergeCell ref="A2:B2"/>
    <mergeCell ref="A3:B3"/>
    <mergeCell ref="A4:B4"/>
    <mergeCell ref="A5:B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AMJ60"/>
  <sheetViews>
    <sheetView zoomScale="130" zoomScaleNormal="13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6.85546875" style="1" customWidth="1"/>
    <col min="8" max="8" width="11.85546875" style="27" customWidth="1"/>
    <col min="9" max="11" width="9.140625" style="1"/>
    <col min="12" max="1024" width="9.140625" style="28"/>
  </cols>
  <sheetData>
    <row r="1" spans="1:11" ht="15.75" x14ac:dyDescent="0.25">
      <c r="A1" s="699" t="s">
        <v>0</v>
      </c>
      <c r="B1" s="699"/>
      <c r="C1" s="699"/>
      <c r="D1" s="699"/>
      <c r="E1" s="699"/>
      <c r="F1" s="699"/>
    </row>
    <row r="2" spans="1:11" s="33" customFormat="1" ht="32.2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31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31"/>
      <c r="H3" s="31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6"/>
      <c r="G4" s="31"/>
      <c r="H4" s="31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6"/>
      <c r="G5" s="31"/>
      <c r="H5" s="31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6"/>
      <c r="G6" s="31"/>
      <c r="H6" s="31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36"/>
      <c r="G7" s="31"/>
      <c r="H7" s="31"/>
      <c r="I7" s="32"/>
      <c r="J7" s="32"/>
      <c r="K7" s="32"/>
    </row>
    <row r="8" spans="1:11" s="33" customFormat="1" ht="12" customHeight="1" x14ac:dyDescent="0.25">
      <c r="A8" s="39" t="s">
        <v>38</v>
      </c>
      <c r="B8" s="40"/>
      <c r="C8" s="41"/>
      <c r="D8" s="30"/>
      <c r="E8" s="29"/>
      <c r="F8" s="36"/>
      <c r="G8" s="31"/>
      <c r="H8" s="31"/>
      <c r="I8" s="32"/>
      <c r="J8" s="32"/>
      <c r="K8" s="32"/>
    </row>
    <row r="9" spans="1:11" s="33" customFormat="1" ht="11.1" customHeight="1" x14ac:dyDescent="0.25">
      <c r="A9" s="697" t="s">
        <v>39</v>
      </c>
      <c r="B9" s="697"/>
      <c r="C9" s="35">
        <v>722</v>
      </c>
      <c r="D9" s="37">
        <v>164</v>
      </c>
      <c r="E9" s="37">
        <f>C9*D9</f>
        <v>118408</v>
      </c>
      <c r="F9" s="36">
        <v>14</v>
      </c>
      <c r="G9" s="31">
        <f>E9/F9</f>
        <v>8457.7142857142862</v>
      </c>
      <c r="H9" s="31"/>
      <c r="I9" s="32"/>
      <c r="J9" s="32"/>
      <c r="K9" s="32"/>
    </row>
    <row r="10" spans="1:11" s="33" customFormat="1" ht="11.1" customHeight="1" x14ac:dyDescent="0.25">
      <c r="A10" s="697" t="s">
        <v>40</v>
      </c>
      <c r="B10" s="697"/>
      <c r="C10" s="35">
        <v>1445</v>
      </c>
      <c r="D10" s="37">
        <v>164</v>
      </c>
      <c r="E10" s="37">
        <f>C10*D10</f>
        <v>236980</v>
      </c>
      <c r="F10" s="36">
        <v>14</v>
      </c>
      <c r="G10" s="31">
        <f>E10/F10</f>
        <v>16927.142857142859</v>
      </c>
      <c r="H10" s="31"/>
      <c r="I10" s="32"/>
      <c r="J10" s="32"/>
      <c r="K10" s="32"/>
    </row>
    <row r="11" spans="1:11" s="33" customFormat="1" ht="11.1" customHeight="1" x14ac:dyDescent="0.25">
      <c r="A11" s="697" t="s">
        <v>41</v>
      </c>
      <c r="B11" s="697"/>
      <c r="C11" s="35">
        <v>129</v>
      </c>
      <c r="D11" s="37">
        <v>272</v>
      </c>
      <c r="E11" s="37">
        <f>C11*D11</f>
        <v>35088</v>
      </c>
      <c r="F11" s="36">
        <v>1</v>
      </c>
      <c r="G11" s="31">
        <f>E11/F11</f>
        <v>35088</v>
      </c>
      <c r="H11" s="31"/>
      <c r="I11" s="32"/>
      <c r="J11" s="32"/>
      <c r="K11" s="32"/>
    </row>
    <row r="12" spans="1:11" s="33" customFormat="1" ht="11.1" customHeight="1" x14ac:dyDescent="0.25">
      <c r="A12" s="697" t="s">
        <v>42</v>
      </c>
      <c r="B12" s="697"/>
      <c r="C12" s="35">
        <v>206</v>
      </c>
      <c r="D12" s="37">
        <v>190</v>
      </c>
      <c r="E12" s="37">
        <f>C12*D12</f>
        <v>39140</v>
      </c>
      <c r="F12" s="36">
        <v>2</v>
      </c>
      <c r="G12" s="31">
        <f>E12/F12</f>
        <v>19570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31"/>
      <c r="H13" s="31"/>
      <c r="I13" s="32"/>
      <c r="J13" s="32"/>
      <c r="K13" s="32"/>
    </row>
    <row r="14" spans="1:11" s="33" customFormat="1" ht="14.1" customHeight="1" x14ac:dyDescent="0.25">
      <c r="A14" s="696" t="s">
        <v>43</v>
      </c>
      <c r="B14" s="696"/>
      <c r="C14" s="30">
        <f>SUM(C9:C13)</f>
        <v>2502</v>
      </c>
      <c r="D14" s="30"/>
      <c r="E14" s="29">
        <f>SUM(E9:E13)</f>
        <v>429616</v>
      </c>
      <c r="F14" s="30">
        <f>SUM(F9:F13)</f>
        <v>31</v>
      </c>
      <c r="G14" s="31">
        <f>E14/F14</f>
        <v>13858.58064516129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31"/>
      <c r="H15" s="31"/>
      <c r="I15" s="32"/>
      <c r="J15" s="32"/>
      <c r="K15" s="32"/>
    </row>
    <row r="16" spans="1:11" s="33" customFormat="1" ht="11.1" customHeight="1" x14ac:dyDescent="0.25">
      <c r="A16" s="697" t="s">
        <v>39</v>
      </c>
      <c r="B16" s="697"/>
      <c r="C16" s="35">
        <v>361</v>
      </c>
      <c r="D16" s="37">
        <v>164</v>
      </c>
      <c r="E16" s="37">
        <f>C16*D16</f>
        <v>59204</v>
      </c>
      <c r="F16" s="36">
        <v>7</v>
      </c>
      <c r="G16" s="31">
        <f t="shared" ref="G16:G21" si="0">E16/F16</f>
        <v>8457.7142857142862</v>
      </c>
      <c r="H16" s="31"/>
      <c r="I16" s="32"/>
      <c r="J16" s="32"/>
      <c r="K16" s="32"/>
    </row>
    <row r="17" spans="1:11" s="33" customFormat="1" ht="11.1" customHeight="1" x14ac:dyDescent="0.25">
      <c r="A17" s="697" t="s">
        <v>40</v>
      </c>
      <c r="B17" s="697"/>
      <c r="C17" s="35">
        <v>722</v>
      </c>
      <c r="D17" s="37">
        <v>164</v>
      </c>
      <c r="E17" s="37">
        <f>C17*D17</f>
        <v>118408</v>
      </c>
      <c r="F17" s="36">
        <v>7</v>
      </c>
      <c r="G17" s="31">
        <f t="shared" si="0"/>
        <v>16915.428571428572</v>
      </c>
      <c r="H17" s="31"/>
      <c r="I17" s="32"/>
      <c r="J17" s="32"/>
      <c r="K17" s="32"/>
    </row>
    <row r="18" spans="1:11" s="33" customFormat="1" ht="11.1" customHeight="1" x14ac:dyDescent="0.25">
      <c r="A18" s="697" t="s">
        <v>41</v>
      </c>
      <c r="B18" s="697"/>
      <c r="C18" s="35">
        <v>129</v>
      </c>
      <c r="D18" s="37">
        <v>272</v>
      </c>
      <c r="E18" s="37">
        <f>C18*D18</f>
        <v>35088</v>
      </c>
      <c r="F18" s="36">
        <v>1</v>
      </c>
      <c r="G18" s="31">
        <f t="shared" si="0"/>
        <v>35088</v>
      </c>
      <c r="H18" s="31"/>
      <c r="I18" s="32"/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7"/>
      <c r="E19" s="37"/>
      <c r="F19" s="36"/>
      <c r="G19" s="31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7"/>
      <c r="E20" s="37"/>
      <c r="F20" s="36"/>
      <c r="G20" s="31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7"/>
      <c r="E21" s="37"/>
      <c r="F21" s="36"/>
      <c r="G21" s="31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6" t="s">
        <v>48</v>
      </c>
      <c r="B22" s="696"/>
      <c r="C22" s="30">
        <f>SUM(C16:C21)</f>
        <v>1212</v>
      </c>
      <c r="D22" s="37">
        <f>SUM(D16:D21)</f>
        <v>600</v>
      </c>
      <c r="E22" s="29">
        <f>SUM(E16:E18)</f>
        <v>212700</v>
      </c>
      <c r="F22" s="36">
        <f>SUM(F16:F21)</f>
        <v>15</v>
      </c>
      <c r="G22" s="31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31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31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31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31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31"/>
      <c r="H27" s="31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7">
        <f>SUM(D27)</f>
        <v>0</v>
      </c>
      <c r="E28" s="29"/>
      <c r="F28" s="36">
        <f>F14+F22</f>
        <v>46</v>
      </c>
      <c r="G28" s="31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31"/>
      <c r="H29" s="31"/>
      <c r="I29" s="32"/>
      <c r="J29" s="32"/>
      <c r="K29" s="32"/>
    </row>
    <row r="30" spans="1:11" ht="11.1" customHeight="1" x14ac:dyDescent="0.25">
      <c r="A30" s="693" t="s">
        <v>148</v>
      </c>
      <c r="B30" s="693"/>
      <c r="C30" s="46">
        <f>C14+C22</f>
        <v>3714</v>
      </c>
      <c r="D30" s="37">
        <f>D7+D14+D22+D25+D28</f>
        <v>600</v>
      </c>
      <c r="E30" s="52">
        <f>E14+E22</f>
        <v>642316</v>
      </c>
      <c r="F30" s="36">
        <f>F14+F22</f>
        <v>46</v>
      </c>
      <c r="G30" s="27"/>
    </row>
    <row r="31" spans="1:11" ht="11.1" customHeight="1" x14ac:dyDescent="0.25">
      <c r="A31" s="692"/>
      <c r="B31" s="692"/>
      <c r="C31" s="49"/>
      <c r="D31" s="50"/>
      <c r="E31" s="51"/>
      <c r="F31" s="36"/>
      <c r="G31" s="36"/>
    </row>
    <row r="32" spans="1:11" ht="11.1" customHeight="1" x14ac:dyDescent="0.25">
      <c r="A32" s="693"/>
      <c r="B32" s="693"/>
      <c r="C32" s="46"/>
      <c r="D32" s="50"/>
      <c r="E32" s="52">
        <f>E14+E22</f>
        <v>642316</v>
      </c>
      <c r="F32" s="1"/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1">
        <f>G9+G16</f>
        <v>16915.428571428572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0.08</v>
      </c>
      <c r="C36" s="61"/>
      <c r="D36" s="51">
        <f>B36*E32</f>
        <v>51385.279999999999</v>
      </c>
      <c r="E36" s="51">
        <f>B36*E32</f>
        <v>51385.279999999999</v>
      </c>
      <c r="F36" s="62"/>
      <c r="H36" s="27">
        <v>118408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12846.32</v>
      </c>
      <c r="E37" s="51">
        <f>D37</f>
        <v>12846.32</v>
      </c>
      <c r="F37" s="56"/>
      <c r="H37" s="27">
        <v>30</v>
      </c>
    </row>
    <row r="38" spans="1:8" ht="14.1" customHeight="1" x14ac:dyDescent="0.25">
      <c r="A38" s="59" t="s">
        <v>55</v>
      </c>
      <c r="B38" s="61">
        <v>0.1</v>
      </c>
      <c r="C38" s="61"/>
      <c r="D38" s="51">
        <f>B38*E32</f>
        <v>64231.600000000006</v>
      </c>
      <c r="E38" s="51">
        <f>(E32+E36+E37)*B38</f>
        <v>70654.759999999995</v>
      </c>
      <c r="F38" s="63"/>
      <c r="G38" s="1">
        <f>C9+C16</f>
        <v>1083</v>
      </c>
      <c r="H38" s="27">
        <f>H36/30</f>
        <v>3946.9333333333334</v>
      </c>
    </row>
    <row r="39" spans="1:8" ht="14.1" customHeight="1" x14ac:dyDescent="0.25">
      <c r="A39" s="59" t="s">
        <v>17</v>
      </c>
      <c r="B39" s="48"/>
      <c r="C39" s="48"/>
      <c r="D39" s="52">
        <f>SUM(D36:D38)</f>
        <v>128463.20000000001</v>
      </c>
      <c r="E39" s="52">
        <f>SUM(E36:E38)</f>
        <v>134886.35999999999</v>
      </c>
      <c r="F39" s="56"/>
      <c r="G39" s="1">
        <f>G34/G38</f>
        <v>15.61904761904762</v>
      </c>
    </row>
    <row r="40" spans="1:8" ht="14.1" hidden="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>
        <f>10880.85/1083</f>
        <v>10.046952908587258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B42*(D39+E32)</f>
        <v>5010.0647999999992</v>
      </c>
      <c r="E42" s="51">
        <f>B42*D50</f>
        <v>5530.1755227148324</v>
      </c>
      <c r="F42" s="56"/>
      <c r="H42" s="27">
        <v>14217.85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B43*(D39+E32)</f>
        <v>23123.375999999997</v>
      </c>
      <c r="E43" s="51">
        <f>B43*D50</f>
        <v>25523.887027914614</v>
      </c>
      <c r="F43" s="56"/>
      <c r="H43" s="27">
        <f>H42/B42</f>
        <v>2187361.5384615385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B44*(D39+E32)</f>
        <v>38538.959999999999</v>
      </c>
      <c r="E44" s="51">
        <f>B44*D50</f>
        <v>42539.811713191026</v>
      </c>
      <c r="F44" s="56"/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66672.400800000003</v>
      </c>
      <c r="E45" s="52">
        <f>SUM(E42:E44)</f>
        <v>73593.874263820471</v>
      </c>
      <c r="F45" s="56"/>
      <c r="H45" s="27">
        <f>H43-F32-D39</f>
        <v>2058898.3384615385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770779.2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770779.2</v>
      </c>
    </row>
    <row r="48" spans="1:8" ht="14.1" hidden="1" customHeight="1" x14ac:dyDescent="0.25">
      <c r="A48" s="694" t="s">
        <v>58</v>
      </c>
      <c r="B48" s="694"/>
      <c r="C48" s="54"/>
      <c r="D48" s="67">
        <f>E32+D39</f>
        <v>770779.2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5" t="s">
        <v>59</v>
      </c>
      <c r="B49" s="695"/>
      <c r="C49" s="48"/>
      <c r="D49" s="52">
        <f>E32+E39</f>
        <v>777202.36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5" t="s">
        <v>60</v>
      </c>
      <c r="B50" s="695"/>
      <c r="C50" s="48"/>
      <c r="D50" s="68">
        <f>D49/(1-B45)</f>
        <v>850796.23426382046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1" t="s">
        <v>24</v>
      </c>
      <c r="B51" s="691"/>
      <c r="C51" s="45"/>
      <c r="D51" s="165" t="s">
        <v>10</v>
      </c>
      <c r="E51" s="164" t="s">
        <v>144</v>
      </c>
      <c r="F51" s="166" t="s">
        <v>25</v>
      </c>
      <c r="G51" s="70"/>
      <c r="H51" s="71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E32+D39+D45</f>
        <v>837451.6007999999</v>
      </c>
      <c r="E52" s="52">
        <f>E32+E39+E45</f>
        <v>850796.23426382046</v>
      </c>
      <c r="F52" s="52">
        <f>E52-D52</f>
        <v>13344.633463820559</v>
      </c>
      <c r="H52" s="27">
        <f>B43/D43</f>
        <v>1.2973884090281628E-6</v>
      </c>
    </row>
    <row r="53" spans="1:11" ht="14.1" customHeight="1" x14ac:dyDescent="0.25">
      <c r="A53" s="691" t="s">
        <v>27</v>
      </c>
      <c r="B53" s="691"/>
      <c r="C53" s="46"/>
      <c r="D53" s="52">
        <f>D52*6</f>
        <v>5024709.6047999989</v>
      </c>
      <c r="E53" s="52">
        <f>E52*6</f>
        <v>5104777.4055829225</v>
      </c>
      <c r="F53" s="52">
        <f>E53-D53</f>
        <v>80067.800782923587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MJ60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149</v>
      </c>
      <c r="B1" s="688"/>
      <c r="C1" s="688"/>
      <c r="D1" s="688"/>
      <c r="E1" s="688"/>
      <c r="F1" s="688"/>
    </row>
    <row r="2" spans="1:11" s="33" customFormat="1" ht="32.2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76"/>
      <c r="H3" s="31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6"/>
      <c r="G4" s="76"/>
      <c r="H4" s="31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6"/>
      <c r="G5" s="76"/>
      <c r="H5" s="31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6"/>
      <c r="G6" s="76"/>
      <c r="H6" s="31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36"/>
      <c r="G7" s="76"/>
      <c r="H7" s="31"/>
      <c r="I7" s="32"/>
      <c r="J7" s="32"/>
      <c r="K7" s="32"/>
    </row>
    <row r="8" spans="1:11" s="33" customFormat="1" ht="14.1" customHeight="1" x14ac:dyDescent="0.25">
      <c r="A8" s="39" t="s">
        <v>38</v>
      </c>
      <c r="B8" s="40"/>
      <c r="C8" s="41"/>
      <c r="D8" s="30"/>
      <c r="E8" s="29"/>
      <c r="F8" s="36"/>
      <c r="G8" s="76"/>
      <c r="H8" s="31"/>
      <c r="I8" s="32"/>
      <c r="J8" s="32"/>
      <c r="K8" s="32"/>
    </row>
    <row r="9" spans="1:11" s="33" customFormat="1" ht="11.1" customHeight="1" x14ac:dyDescent="0.25">
      <c r="A9" s="697" t="s">
        <v>39</v>
      </c>
      <c r="B9" s="697"/>
      <c r="C9" s="35">
        <v>722</v>
      </c>
      <c r="D9" s="37">
        <v>120</v>
      </c>
      <c r="E9" s="37">
        <f>C9*D9</f>
        <v>86640</v>
      </c>
      <c r="F9" s="36">
        <v>14</v>
      </c>
      <c r="G9" s="76">
        <f>E9/F9</f>
        <v>6188.5714285714284</v>
      </c>
      <c r="H9" s="31"/>
      <c r="I9" s="32"/>
      <c r="J9" s="32"/>
      <c r="K9" s="32"/>
    </row>
    <row r="10" spans="1:11" s="33" customFormat="1" ht="11.1" customHeight="1" x14ac:dyDescent="0.25">
      <c r="A10" s="697" t="s">
        <v>40</v>
      </c>
      <c r="B10" s="697"/>
      <c r="C10" s="35">
        <v>1445</v>
      </c>
      <c r="D10" s="37">
        <v>110</v>
      </c>
      <c r="E10" s="37">
        <f>C10*D10</f>
        <v>158950</v>
      </c>
      <c r="F10" s="36">
        <v>14</v>
      </c>
      <c r="G10" s="76">
        <f>E10/F10</f>
        <v>11353.571428571429</v>
      </c>
      <c r="H10" s="31"/>
      <c r="I10" s="32"/>
      <c r="J10" s="32"/>
      <c r="K10" s="32"/>
    </row>
    <row r="11" spans="1:11" s="33" customFormat="1" ht="11.1" customHeight="1" x14ac:dyDescent="0.25">
      <c r="A11" s="697" t="s">
        <v>41</v>
      </c>
      <c r="B11" s="697"/>
      <c r="C11" s="35">
        <v>129</v>
      </c>
      <c r="D11" s="37">
        <v>130</v>
      </c>
      <c r="E11" s="37">
        <f>C11*D11</f>
        <v>16770</v>
      </c>
      <c r="F11" s="36">
        <v>1</v>
      </c>
      <c r="G11" s="76">
        <f>E11/F11</f>
        <v>16770</v>
      </c>
      <c r="H11" s="31"/>
      <c r="I11" s="32"/>
      <c r="J11" s="32"/>
      <c r="K11" s="32"/>
    </row>
    <row r="12" spans="1:11" s="33" customFormat="1" ht="11.1" customHeight="1" x14ac:dyDescent="0.25">
      <c r="A12" s="697" t="s">
        <v>42</v>
      </c>
      <c r="B12" s="697"/>
      <c r="C12" s="35">
        <v>206</v>
      </c>
      <c r="D12" s="37">
        <v>130</v>
      </c>
      <c r="E12" s="37">
        <f>C12*D12</f>
        <v>26780</v>
      </c>
      <c r="F12" s="36">
        <v>2</v>
      </c>
      <c r="G12" s="76">
        <f>E12/F12</f>
        <v>13390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76"/>
      <c r="H13" s="31"/>
      <c r="I13" s="32"/>
      <c r="J13" s="32"/>
      <c r="K13" s="32"/>
    </row>
    <row r="14" spans="1:11" s="33" customFormat="1" ht="14.1" customHeight="1" x14ac:dyDescent="0.25">
      <c r="A14" s="696" t="s">
        <v>43</v>
      </c>
      <c r="B14" s="696"/>
      <c r="C14" s="30">
        <f>SUM(C9:C13)</f>
        <v>2502</v>
      </c>
      <c r="D14" s="30"/>
      <c r="E14" s="29">
        <f>SUM(E9:E13)</f>
        <v>289140</v>
      </c>
      <c r="F14" s="30">
        <f>SUM(F9:F13)</f>
        <v>31</v>
      </c>
      <c r="G14" s="76">
        <f>E14/F14</f>
        <v>9327.0967741935492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697" t="s">
        <v>39</v>
      </c>
      <c r="B16" s="697"/>
      <c r="C16" s="35">
        <v>361</v>
      </c>
      <c r="D16" s="37">
        <v>120</v>
      </c>
      <c r="E16" s="37">
        <f>C16*D16</f>
        <v>43320</v>
      </c>
      <c r="F16" s="36">
        <v>7</v>
      </c>
      <c r="G16" s="76">
        <f t="shared" ref="G16:G21" si="0">E16/F16</f>
        <v>6188.5714285714284</v>
      </c>
      <c r="H16" s="31"/>
      <c r="I16" s="32"/>
      <c r="J16" s="32"/>
      <c r="K16" s="32"/>
    </row>
    <row r="17" spans="1:11" s="33" customFormat="1" ht="11.1" customHeight="1" x14ac:dyDescent="0.25">
      <c r="A17" s="697" t="s">
        <v>40</v>
      </c>
      <c r="B17" s="697"/>
      <c r="C17" s="35">
        <v>722</v>
      </c>
      <c r="D17" s="37">
        <v>110</v>
      </c>
      <c r="E17" s="37">
        <f>C17*D17</f>
        <v>79420</v>
      </c>
      <c r="F17" s="36">
        <v>7</v>
      </c>
      <c r="G17" s="76">
        <f t="shared" si="0"/>
        <v>11345.714285714286</v>
      </c>
      <c r="H17" s="31"/>
      <c r="I17" s="32"/>
      <c r="J17" s="32"/>
      <c r="K17" s="32"/>
    </row>
    <row r="18" spans="1:11" s="33" customFormat="1" ht="11.1" customHeight="1" x14ac:dyDescent="0.25">
      <c r="A18" s="697" t="s">
        <v>41</v>
      </c>
      <c r="B18" s="697"/>
      <c r="C18" s="35">
        <v>129</v>
      </c>
      <c r="D18" s="37">
        <v>130</v>
      </c>
      <c r="E18" s="37">
        <f>C18*D18</f>
        <v>16770</v>
      </c>
      <c r="F18" s="36">
        <v>1</v>
      </c>
      <c r="G18" s="76">
        <f t="shared" si="0"/>
        <v>16770</v>
      </c>
      <c r="H18" s="31"/>
      <c r="I18" s="32"/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7"/>
      <c r="E19" s="37"/>
      <c r="F19" s="36"/>
      <c r="G19" s="76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7"/>
      <c r="E20" s="37"/>
      <c r="F20" s="36"/>
      <c r="G20" s="76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7"/>
      <c r="E21" s="37"/>
      <c r="F21" s="36"/>
      <c r="G21" s="76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6" t="s">
        <v>48</v>
      </c>
      <c r="B22" s="696"/>
      <c r="C22" s="30">
        <f>SUM(C16:C21)</f>
        <v>1212</v>
      </c>
      <c r="D22" s="37"/>
      <c r="E22" s="29">
        <f>SUM(E16:E18)</f>
        <v>139510</v>
      </c>
      <c r="F22" s="36">
        <f>SUM(F16:F21)</f>
        <v>15</v>
      </c>
      <c r="G22" s="76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76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76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76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76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76"/>
      <c r="H27" s="31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7">
        <f>SUM(D27)</f>
        <v>0</v>
      </c>
      <c r="E28" s="29"/>
      <c r="F28" s="36">
        <f>F14+F22</f>
        <v>46</v>
      </c>
      <c r="G28" s="76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76"/>
      <c r="H29" s="31"/>
      <c r="I29" s="32"/>
      <c r="J29" s="32"/>
      <c r="K29" s="32"/>
    </row>
    <row r="30" spans="1:11" ht="14.1" customHeight="1" x14ac:dyDescent="0.25">
      <c r="A30" s="700" t="s">
        <v>53</v>
      </c>
      <c r="B30" s="701"/>
      <c r="C30" s="46">
        <f>C14+C22</f>
        <v>3714</v>
      </c>
      <c r="D30" s="37"/>
      <c r="E30" s="47"/>
      <c r="F30" s="168">
        <f>F14+F22</f>
        <v>46</v>
      </c>
    </row>
    <row r="31" spans="1:11" ht="14.1" hidden="1" customHeight="1" x14ac:dyDescent="0.25">
      <c r="A31" s="692"/>
      <c r="B31" s="692"/>
      <c r="C31" s="49"/>
      <c r="D31" s="50"/>
      <c r="E31" s="51"/>
      <c r="F31" s="36"/>
      <c r="G31" s="77"/>
    </row>
    <row r="32" spans="1:11" ht="14.1" customHeight="1" x14ac:dyDescent="0.25">
      <c r="A32" s="693" t="s">
        <v>8</v>
      </c>
      <c r="B32" s="693"/>
      <c r="C32" s="46"/>
      <c r="D32" s="50"/>
      <c r="E32" s="52">
        <f>E14+E22</f>
        <v>428650</v>
      </c>
      <c r="F32" s="1"/>
    </row>
    <row r="33" spans="1:8" ht="13.5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75">
        <f>G9+G16</f>
        <v>12377.142857142857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4">
        <v>3.3999999999999998E-3</v>
      </c>
      <c r="C36" s="61"/>
      <c r="D36" s="51">
        <f>B36*G36</f>
        <v>1999.9999999999995</v>
      </c>
      <c r="E36" s="51">
        <f>B36*E32</f>
        <v>1457.4099999999999</v>
      </c>
      <c r="F36" s="1"/>
      <c r="G36" s="75">
        <f>2000/0.34%</f>
        <v>588235.29411764699</v>
      </c>
      <c r="H36" s="27">
        <v>118408</v>
      </c>
    </row>
    <row r="37" spans="1:8" ht="11.1" customHeight="1" x14ac:dyDescent="0.25">
      <c r="A37" s="59" t="s">
        <v>15</v>
      </c>
      <c r="B37" s="64">
        <v>0</v>
      </c>
      <c r="C37" s="48"/>
      <c r="D37" s="51">
        <v>460</v>
      </c>
      <c r="E37" s="51">
        <f>D37</f>
        <v>460</v>
      </c>
      <c r="F37" s="56"/>
      <c r="H37" s="27">
        <v>30</v>
      </c>
    </row>
    <row r="38" spans="1:8" ht="11.1" customHeight="1" x14ac:dyDescent="0.25">
      <c r="A38" s="59" t="s">
        <v>55</v>
      </c>
      <c r="B38" s="64">
        <v>0.19370000000000001</v>
      </c>
      <c r="C38" s="61"/>
      <c r="D38" s="51">
        <f>B38*G38</f>
        <v>111402.5</v>
      </c>
      <c r="E38" s="51">
        <f>(E32+E36+E37)*B38</f>
        <v>83400.907317000005</v>
      </c>
      <c r="F38" s="63"/>
      <c r="G38" s="167">
        <f>111402.5/19.37%</f>
        <v>575129.06556530716</v>
      </c>
      <c r="H38" s="27">
        <f>H36/30</f>
        <v>3946.9333333333334</v>
      </c>
    </row>
    <row r="39" spans="1:8" ht="11.1" customHeight="1" x14ac:dyDescent="0.25">
      <c r="A39" s="59" t="s">
        <v>17</v>
      </c>
      <c r="B39" s="64"/>
      <c r="C39" s="48"/>
      <c r="D39" s="52">
        <f>SUM(D36:D38)</f>
        <v>113862.5</v>
      </c>
      <c r="E39" s="52">
        <f>SUM(E36:E38)</f>
        <v>85318.317317000008</v>
      </c>
      <c r="F39" s="56"/>
      <c r="G39" s="75">
        <f>G34/G38</f>
        <v>2.1520635276843621E-2</v>
      </c>
    </row>
    <row r="40" spans="1:8" ht="14.1" hidden="1" customHeight="1" x14ac:dyDescent="0.25">
      <c r="A40" s="59"/>
      <c r="B40" s="64"/>
      <c r="C40" s="48"/>
      <c r="D40" s="51"/>
      <c r="E40" s="51"/>
      <c r="F40" s="56"/>
    </row>
    <row r="41" spans="1:8" ht="14.1" customHeight="1" x14ac:dyDescent="0.25">
      <c r="A41" s="59" t="s">
        <v>18</v>
      </c>
      <c r="B41" s="64"/>
      <c r="C41" s="48"/>
      <c r="D41" s="58" t="s">
        <v>13</v>
      </c>
      <c r="E41" s="51"/>
      <c r="F41" s="56"/>
      <c r="G41" s="75">
        <f>10880.85/1083</f>
        <v>10.046952908587258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f>B42*$D$48</f>
        <v>3737.5</v>
      </c>
      <c r="E42" s="51">
        <f>B42*D50</f>
        <v>3540.8522125707473</v>
      </c>
      <c r="F42" s="56"/>
      <c r="G42" s="75">
        <f>3737.5/0.65%</f>
        <v>575000</v>
      </c>
      <c r="H42" s="27">
        <v>14217.85</v>
      </c>
    </row>
    <row r="43" spans="1:8" ht="11.1" customHeight="1" x14ac:dyDescent="0.25">
      <c r="A43" s="59" t="s">
        <v>20</v>
      </c>
      <c r="B43" s="64">
        <v>0.03</v>
      </c>
      <c r="C43" s="65"/>
      <c r="D43" s="51">
        <f>B43*$D$48</f>
        <v>17250</v>
      </c>
      <c r="E43" s="51">
        <f>B43*D50</f>
        <v>16342.394827249604</v>
      </c>
      <c r="F43" s="56"/>
      <c r="G43" s="75">
        <f>17250/3%</f>
        <v>575000</v>
      </c>
      <c r="H43" s="27">
        <f>H42/B42</f>
        <v>2187361.5384615385</v>
      </c>
    </row>
    <row r="44" spans="1:8" ht="11.1" customHeight="1" x14ac:dyDescent="0.25">
      <c r="A44" s="59" t="s">
        <v>21</v>
      </c>
      <c r="B44" s="64">
        <v>0.02</v>
      </c>
      <c r="C44" s="65"/>
      <c r="D44" s="51">
        <f>B44*$D$48</f>
        <v>11500</v>
      </c>
      <c r="E44" s="51">
        <f>B44*D50</f>
        <v>10894.929884833069</v>
      </c>
      <c r="F44" s="56"/>
      <c r="G44" s="75">
        <f>11500/2%</f>
        <v>575000</v>
      </c>
    </row>
    <row r="45" spans="1:8" ht="14.1" customHeight="1" x14ac:dyDescent="0.25">
      <c r="A45" s="59" t="s">
        <v>17</v>
      </c>
      <c r="B45" s="64">
        <f>SUM(B42:B44)</f>
        <v>5.6499999999999995E-2</v>
      </c>
      <c r="C45" s="64"/>
      <c r="D45" s="52">
        <f>SUM(D42:D44)</f>
        <v>32487.5</v>
      </c>
      <c r="E45" s="52">
        <f>SUM(E42:E44)</f>
        <v>30778.17692465342</v>
      </c>
      <c r="F45" s="56"/>
      <c r="H45" s="27">
        <f>H43-F32-D39</f>
        <v>2073499.0384615385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575000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575000</v>
      </c>
    </row>
    <row r="48" spans="1:8" ht="14.1" hidden="1" customHeight="1" x14ac:dyDescent="0.25">
      <c r="A48" s="694" t="s">
        <v>58</v>
      </c>
      <c r="B48" s="694"/>
      <c r="C48" s="54"/>
      <c r="D48" s="67">
        <v>575000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5" t="s">
        <v>59</v>
      </c>
      <c r="B49" s="695"/>
      <c r="C49" s="48"/>
      <c r="D49" s="52">
        <f>E32+E39</f>
        <v>513968.31731700001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5" t="s">
        <v>60</v>
      </c>
      <c r="B50" s="695"/>
      <c r="C50" s="48"/>
      <c r="D50" s="68">
        <f>D49/(1-B45)</f>
        <v>544746.49424165348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1" t="s">
        <v>24</v>
      </c>
      <c r="B51" s="691"/>
      <c r="C51" s="45"/>
      <c r="D51" s="165" t="s">
        <v>10</v>
      </c>
      <c r="E51" s="164" t="s">
        <v>144</v>
      </c>
      <c r="F51" s="166" t="s">
        <v>25</v>
      </c>
      <c r="G51" s="78"/>
      <c r="H51" s="71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E32+D39+D45</f>
        <v>575000</v>
      </c>
      <c r="E52" s="52">
        <f>E32+E39+E45</f>
        <v>544746.49424165348</v>
      </c>
      <c r="F52" s="52">
        <f>D52-E52</f>
        <v>30253.505758346524</v>
      </c>
      <c r="H52" s="27">
        <f>B43/D43</f>
        <v>1.7391304347826085E-6</v>
      </c>
    </row>
    <row r="53" spans="1:11" ht="14.1" customHeight="1" x14ac:dyDescent="0.25">
      <c r="A53" s="691" t="s">
        <v>27</v>
      </c>
      <c r="B53" s="691"/>
      <c r="C53" s="46"/>
      <c r="D53" s="52">
        <f>D52*6</f>
        <v>3450000</v>
      </c>
      <c r="E53" s="52">
        <f>E52*6</f>
        <v>3268478.9654499209</v>
      </c>
      <c r="F53" s="52">
        <f>D53-E53</f>
        <v>181521.03455007914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150</v>
      </c>
      <c r="B1" s="688"/>
      <c r="C1" s="688"/>
      <c r="D1" s="688"/>
      <c r="E1" s="688"/>
      <c r="F1" s="688"/>
    </row>
    <row r="2" spans="1:11" s="33" customFormat="1" ht="25.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7" t="s">
        <v>39</v>
      </c>
      <c r="B4" s="697"/>
      <c r="C4" s="35">
        <v>722</v>
      </c>
      <c r="D4" s="37">
        <v>135</v>
      </c>
      <c r="E4" s="37">
        <f>C4*D4</f>
        <v>97470</v>
      </c>
      <c r="F4" s="36">
        <v>8</v>
      </c>
      <c r="G4" s="76">
        <f>E4/F4</f>
        <v>12183.75</v>
      </c>
      <c r="H4" s="31"/>
      <c r="I4" s="32"/>
      <c r="J4" s="32"/>
      <c r="K4" s="32"/>
    </row>
    <row r="5" spans="1:11" s="33" customFormat="1" ht="11.1" customHeight="1" x14ac:dyDescent="0.25">
      <c r="A5" s="697" t="s">
        <v>40</v>
      </c>
      <c r="B5" s="697"/>
      <c r="C5" s="35">
        <v>1445</v>
      </c>
      <c r="D5" s="37">
        <v>125</v>
      </c>
      <c r="E5" s="37">
        <f>C5*D5</f>
        <v>180625</v>
      </c>
      <c r="F5" s="36">
        <v>14</v>
      </c>
      <c r="G5" s="76">
        <f>E5/F5</f>
        <v>12901.785714285714</v>
      </c>
      <c r="H5" s="31"/>
      <c r="I5" s="32"/>
      <c r="J5" s="32"/>
      <c r="K5" s="32"/>
    </row>
    <row r="6" spans="1:11" s="33" customFormat="1" ht="11.1" customHeight="1" x14ac:dyDescent="0.25">
      <c r="A6" s="697" t="s">
        <v>41</v>
      </c>
      <c r="B6" s="697"/>
      <c r="C6" s="35">
        <v>129</v>
      </c>
      <c r="D6" s="37">
        <v>150</v>
      </c>
      <c r="E6" s="37">
        <f>C6*D6</f>
        <v>19350</v>
      </c>
      <c r="F6" s="36">
        <v>1</v>
      </c>
      <c r="G6" s="76">
        <f>E6/F6</f>
        <v>19350</v>
      </c>
      <c r="H6" s="31"/>
      <c r="I6" s="32"/>
      <c r="J6" s="32"/>
      <c r="K6" s="32"/>
    </row>
    <row r="7" spans="1:11" s="33" customFormat="1" ht="11.1" customHeight="1" x14ac:dyDescent="0.25">
      <c r="A7" s="697" t="s">
        <v>42</v>
      </c>
      <c r="B7" s="697"/>
      <c r="C7" s="35">
        <v>206</v>
      </c>
      <c r="D7" s="37">
        <v>135</v>
      </c>
      <c r="E7" s="37">
        <f>C7*D7</f>
        <v>27810</v>
      </c>
      <c r="F7" s="36">
        <v>2</v>
      </c>
      <c r="G7" s="76">
        <f>E7/F7</f>
        <v>13905</v>
      </c>
      <c r="H7" s="31"/>
      <c r="I7" s="32"/>
      <c r="J7" s="32"/>
      <c r="K7" s="32"/>
    </row>
    <row r="8" spans="1:11" s="33" customFormat="1" ht="11.1" customHeight="1" x14ac:dyDescent="0.25">
      <c r="A8" s="696" t="s">
        <v>43</v>
      </c>
      <c r="B8" s="696"/>
      <c r="C8" s="30">
        <f>SUM(C4:C7)</f>
        <v>2502</v>
      </c>
      <c r="D8" s="30"/>
      <c r="E8" s="29">
        <f>SUM(E4:E7)</f>
        <v>325255</v>
      </c>
      <c r="F8" s="30">
        <f>SUM(F4:F7)</f>
        <v>25</v>
      </c>
      <c r="G8" s="76">
        <f>E8/F8</f>
        <v>13010.2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7" t="s">
        <v>39</v>
      </c>
      <c r="B10" s="697"/>
      <c r="C10" s="35">
        <v>361</v>
      </c>
      <c r="D10" s="37">
        <v>135</v>
      </c>
      <c r="E10" s="37">
        <f>C10*D10</f>
        <v>48735</v>
      </c>
      <c r="F10" s="36">
        <v>4</v>
      </c>
      <c r="G10" s="76">
        <f>E10/F10</f>
        <v>12183.75</v>
      </c>
      <c r="H10" s="31"/>
      <c r="I10" s="32"/>
      <c r="J10" s="32"/>
      <c r="K10" s="32"/>
    </row>
    <row r="11" spans="1:11" s="33" customFormat="1" ht="11.1" customHeight="1" x14ac:dyDescent="0.25">
      <c r="A11" s="697" t="s">
        <v>40</v>
      </c>
      <c r="B11" s="697"/>
      <c r="C11" s="35">
        <v>722</v>
      </c>
      <c r="D11" s="37">
        <v>125</v>
      </c>
      <c r="E11" s="37">
        <f>C11*D11</f>
        <v>90250</v>
      </c>
      <c r="F11" s="36">
        <v>7</v>
      </c>
      <c r="G11" s="76">
        <f>E11/F11</f>
        <v>12892.857142857143</v>
      </c>
      <c r="H11" s="31"/>
      <c r="I11" s="32"/>
      <c r="J11" s="32"/>
      <c r="K11" s="32"/>
    </row>
    <row r="12" spans="1:11" s="33" customFormat="1" ht="11.1" customHeight="1" x14ac:dyDescent="0.25">
      <c r="A12" s="697" t="s">
        <v>41</v>
      </c>
      <c r="B12" s="697"/>
      <c r="C12" s="35">
        <v>129</v>
      </c>
      <c r="D12" s="37">
        <v>150</v>
      </c>
      <c r="E12" s="37">
        <f>C12*D12</f>
        <v>19350</v>
      </c>
      <c r="F12" s="36">
        <v>1</v>
      </c>
      <c r="G12" s="76">
        <f>E12/F12</f>
        <v>19350</v>
      </c>
      <c r="H12" s="31"/>
      <c r="I12" s="32"/>
      <c r="J12" s="32"/>
      <c r="K12" s="32"/>
    </row>
    <row r="13" spans="1:11" s="33" customFormat="1" ht="11.1" customHeight="1" x14ac:dyDescent="0.25">
      <c r="A13" s="696" t="s">
        <v>48</v>
      </c>
      <c r="B13" s="696"/>
      <c r="C13" s="30">
        <f>SUM(C10:C12)</f>
        <v>1212</v>
      </c>
      <c r="D13" s="37"/>
      <c r="E13" s="29">
        <f>SUM(E10:E12)</f>
        <v>158335</v>
      </c>
      <c r="F13" s="168">
        <f>SUM(F10:F12)</f>
        <v>12</v>
      </c>
      <c r="G13" s="76"/>
      <c r="H13" s="31"/>
      <c r="I13" s="32"/>
      <c r="J13" s="32"/>
      <c r="K13" s="32"/>
    </row>
    <row r="14" spans="1:11" s="33" customFormat="1" ht="11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1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6" t="s">
        <v>52</v>
      </c>
      <c r="B19" s="696"/>
      <c r="C19" s="38"/>
      <c r="D19" s="37">
        <f>SUM(D18)</f>
        <v>0</v>
      </c>
      <c r="E19" s="29"/>
      <c r="F19" s="36">
        <f>F8+F13</f>
        <v>37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693" t="s">
        <v>148</v>
      </c>
      <c r="B21" s="693"/>
      <c r="C21" s="46">
        <f>C8+C13</f>
        <v>3714</v>
      </c>
      <c r="D21" s="37"/>
      <c r="E21" s="52">
        <f>E8+E13</f>
        <v>483590</v>
      </c>
      <c r="F21" s="168">
        <f>F8+F13</f>
        <v>37</v>
      </c>
    </row>
    <row r="22" spans="1:11" ht="14.1" hidden="1" customHeight="1" x14ac:dyDescent="0.25">
      <c r="A22" s="692"/>
      <c r="B22" s="692"/>
      <c r="C22" s="49"/>
      <c r="D22" s="50"/>
      <c r="E22" s="51"/>
      <c r="F22" s="36"/>
      <c r="G22" s="77"/>
    </row>
    <row r="23" spans="1:11" ht="14.1" customHeight="1" x14ac:dyDescent="0.25">
      <c r="A23" s="693" t="s">
        <v>8</v>
      </c>
      <c r="B23" s="693"/>
      <c r="C23" s="46"/>
      <c r="D23" s="50"/>
      <c r="E23" s="52">
        <f>E21</f>
        <v>483590</v>
      </c>
      <c r="F23" s="1"/>
    </row>
    <row r="24" spans="1:11" ht="14.1" customHeight="1" x14ac:dyDescent="0.25">
      <c r="A24" s="53"/>
      <c r="B24" s="53"/>
      <c r="C24" s="54"/>
      <c r="D24" s="55"/>
      <c r="E24" s="56"/>
      <c r="F24" s="56"/>
    </row>
    <row r="25" spans="1:11" ht="14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24367.5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7.6799999999999993E-2</v>
      </c>
      <c r="C27" s="61"/>
      <c r="D27" s="51">
        <f>B27*G27</f>
        <v>46079.999999999993</v>
      </c>
      <c r="E27" s="51">
        <f>B27*E23</f>
        <v>37139.712</v>
      </c>
      <c r="F27" s="1"/>
      <c r="G27" s="167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1600</v>
      </c>
      <c r="E28" s="51">
        <f>D28</f>
        <v>1600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5.2999999999999999E-2</v>
      </c>
      <c r="C29" s="61"/>
      <c r="D29" s="51">
        <f>B29*G29</f>
        <v>31829.999999999996</v>
      </c>
      <c r="E29" s="51">
        <f>(E23+E27+E28)*B29</f>
        <v>27683.474736</v>
      </c>
      <c r="F29" s="63"/>
      <c r="G29" s="167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52">
        <f>SUM(D27:D29)</f>
        <v>79509.999999999985</v>
      </c>
      <c r="E30" s="52">
        <f>SUM(E27:E29)</f>
        <v>66423.186736000003</v>
      </c>
      <c r="F30" s="56"/>
      <c r="G30" s="75">
        <f>G25/G29</f>
        <v>4.0574222431668236E-2</v>
      </c>
    </row>
    <row r="31" spans="1:11" ht="14.1" hidden="1" customHeight="1" x14ac:dyDescent="0.25">
      <c r="A31" s="59"/>
      <c r="B31" s="48"/>
      <c r="C31" s="48"/>
      <c r="D31" s="5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f>B33*$D$39</f>
        <v>3900</v>
      </c>
      <c r="E33" s="51">
        <f>B33*D41</f>
        <v>3710.5196821837048</v>
      </c>
      <c r="F33" s="56"/>
      <c r="G33" s="75">
        <f>3737.5/0.65%</f>
        <v>575000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51">
        <f>B34*$D$39</f>
        <v>18000</v>
      </c>
      <c r="E34" s="51">
        <f>B34*D41</f>
        <v>17125.475456232485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151</v>
      </c>
      <c r="B35" s="65">
        <v>0</v>
      </c>
      <c r="C35" s="65"/>
      <c r="D35" s="51">
        <f>B35*$D$39</f>
        <v>0</v>
      </c>
      <c r="E35" s="51">
        <f>B35*D41</f>
        <v>0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3.6499999999999998E-2</v>
      </c>
      <c r="C36" s="64"/>
      <c r="D36" s="52">
        <f>SUM(D33:D35)</f>
        <v>21900</v>
      </c>
      <c r="E36" s="52">
        <f>SUM(E33:E35)</f>
        <v>20835.99513841619</v>
      </c>
      <c r="F36" s="56"/>
      <c r="H36" s="27">
        <f>H34-F23-D30</f>
        <v>2107851.5384615385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9000</v>
      </c>
      <c r="E37" s="51"/>
      <c r="F37" s="56"/>
      <c r="H37" s="66">
        <f>D34/B34</f>
        <v>600000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6000</v>
      </c>
      <c r="E38" s="51"/>
      <c r="F38" s="56"/>
      <c r="H38" s="27" t="e">
        <f>D35/B35</f>
        <v>#DIV/0!</v>
      </c>
    </row>
    <row r="39" spans="1:11" ht="11.1" hidden="1" customHeight="1" x14ac:dyDescent="0.25">
      <c r="A39" s="694" t="s">
        <v>58</v>
      </c>
      <c r="B39" s="694"/>
      <c r="C39" s="54"/>
      <c r="D39" s="169">
        <v>600000</v>
      </c>
      <c r="E39" s="56">
        <f>E23+D30+D36+D37+D38</f>
        <v>600000</v>
      </c>
      <c r="F39" s="56"/>
      <c r="H39" s="27">
        <f>0.65%*H34</f>
        <v>14217.850000000002</v>
      </c>
    </row>
    <row r="40" spans="1:11" ht="14.1" hidden="1" customHeight="1" x14ac:dyDescent="0.25">
      <c r="A40" s="695" t="s">
        <v>59</v>
      </c>
      <c r="B40" s="695"/>
      <c r="C40" s="48"/>
      <c r="D40" s="52">
        <f>E23+E30</f>
        <v>550013.186736</v>
      </c>
      <c r="F40" s="56"/>
      <c r="H40" s="27">
        <f>3%*H34</f>
        <v>65620.846153846156</v>
      </c>
    </row>
    <row r="41" spans="1:11" ht="14.1" hidden="1" customHeight="1" x14ac:dyDescent="0.25">
      <c r="A41" s="695" t="s">
        <v>60</v>
      </c>
      <c r="B41" s="695"/>
      <c r="C41" s="48"/>
      <c r="D41" s="68">
        <f>D40/(1-B36)</f>
        <v>570849.18187441619</v>
      </c>
      <c r="E41" s="56"/>
      <c r="F41" s="56"/>
      <c r="H41" s="27">
        <f>5%*H34</f>
        <v>109368.07692307694</v>
      </c>
    </row>
    <row r="42" spans="1:11" s="72" customFormat="1" ht="12" customHeight="1" x14ac:dyDescent="0.25">
      <c r="A42" s="691" t="s">
        <v>24</v>
      </c>
      <c r="B42" s="691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2" customHeight="1" x14ac:dyDescent="0.25">
      <c r="A43" s="691" t="s">
        <v>26</v>
      </c>
      <c r="B43" s="691"/>
      <c r="C43" s="45"/>
      <c r="D43" s="52">
        <f>E23+D30+D36+D37+D38</f>
        <v>600000</v>
      </c>
      <c r="E43" s="52">
        <f>E23+E30+E36</f>
        <v>570849.18187441619</v>
      </c>
      <c r="F43" s="52">
        <f>D43-E43</f>
        <v>29150.818125583814</v>
      </c>
      <c r="H43" s="27">
        <f>B34/D34</f>
        <v>1.6666666666666667E-6</v>
      </c>
    </row>
    <row r="44" spans="1:11" ht="12" customHeight="1" x14ac:dyDescent="0.25">
      <c r="A44" s="691" t="s">
        <v>27</v>
      </c>
      <c r="B44" s="691"/>
      <c r="C44" s="46"/>
      <c r="D44" s="52">
        <f>D43*6</f>
        <v>3600000</v>
      </c>
      <c r="E44" s="52">
        <f>E43*6</f>
        <v>3425095.0912464969</v>
      </c>
      <c r="F44" s="52">
        <f>D44-E44</f>
        <v>174904.90875350311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152</v>
      </c>
      <c r="B1" s="688"/>
      <c r="C1" s="688"/>
      <c r="D1" s="688"/>
      <c r="E1" s="688"/>
      <c r="F1" s="688"/>
    </row>
    <row r="2" spans="1:11" s="33" customFormat="1" ht="27.7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7" t="s">
        <v>39</v>
      </c>
      <c r="B4" s="697"/>
      <c r="C4" s="35">
        <v>722</v>
      </c>
      <c r="D4" s="37">
        <v>109.6</v>
      </c>
      <c r="E4" s="37">
        <f>C4*D4</f>
        <v>79131.199999999997</v>
      </c>
      <c r="F4" s="36">
        <v>12</v>
      </c>
      <c r="G4" s="76">
        <f>E4/F4</f>
        <v>6594.2666666666664</v>
      </c>
      <c r="H4" s="31"/>
      <c r="I4" s="32"/>
      <c r="J4" s="32"/>
      <c r="K4" s="32"/>
    </row>
    <row r="5" spans="1:11" s="33" customFormat="1" ht="11.1" customHeight="1" x14ac:dyDescent="0.25">
      <c r="A5" s="697" t="s">
        <v>40</v>
      </c>
      <c r="B5" s="697"/>
      <c r="C5" s="35">
        <v>1445</v>
      </c>
      <c r="D5" s="37">
        <v>109.1</v>
      </c>
      <c r="E5" s="37">
        <f>C5*D5</f>
        <v>157649.5</v>
      </c>
      <c r="F5" s="36">
        <v>12</v>
      </c>
      <c r="G5" s="76">
        <f>E5/F5</f>
        <v>13137.458333333334</v>
      </c>
      <c r="H5" s="31"/>
      <c r="I5" s="32"/>
      <c r="J5" s="32"/>
      <c r="K5" s="32"/>
    </row>
    <row r="6" spans="1:11" s="33" customFormat="1" ht="11.1" customHeight="1" x14ac:dyDescent="0.25">
      <c r="A6" s="697" t="s">
        <v>41</v>
      </c>
      <c r="B6" s="697"/>
      <c r="C6" s="35">
        <v>129</v>
      </c>
      <c r="D6" s="37">
        <v>143.80000000000001</v>
      </c>
      <c r="E6" s="37">
        <f>C6*D6</f>
        <v>18550.2</v>
      </c>
      <c r="F6" s="36">
        <v>1</v>
      </c>
      <c r="G6" s="76">
        <f>E6/F6</f>
        <v>18550.2</v>
      </c>
      <c r="H6" s="31"/>
      <c r="I6" s="32"/>
      <c r="J6" s="32"/>
      <c r="K6" s="32"/>
    </row>
    <row r="7" spans="1:11" s="33" customFormat="1" ht="11.1" customHeight="1" x14ac:dyDescent="0.25">
      <c r="A7" s="697" t="s">
        <v>42</v>
      </c>
      <c r="B7" s="697"/>
      <c r="C7" s="35">
        <v>206</v>
      </c>
      <c r="D7" s="37">
        <v>110.44</v>
      </c>
      <c r="E7" s="37">
        <f>C7*D7</f>
        <v>22750.639999999999</v>
      </c>
      <c r="F7" s="36">
        <v>2</v>
      </c>
      <c r="G7" s="76">
        <f>E7/F7</f>
        <v>11375.32</v>
      </c>
      <c r="H7" s="31"/>
      <c r="I7" s="32"/>
      <c r="J7" s="32"/>
      <c r="K7" s="32"/>
    </row>
    <row r="8" spans="1:11" s="33" customFormat="1" ht="14.1" customHeight="1" x14ac:dyDescent="0.25">
      <c r="A8" s="696" t="s">
        <v>43</v>
      </c>
      <c r="B8" s="696"/>
      <c r="C8" s="30">
        <f>SUM(C4:C7)</f>
        <v>2502</v>
      </c>
      <c r="D8" s="30"/>
      <c r="E8" s="29">
        <f>SUM(E4:E7)</f>
        <v>278081.54000000004</v>
      </c>
      <c r="F8" s="30">
        <f>SUM(F4:F7)</f>
        <v>27</v>
      </c>
      <c r="G8" s="76">
        <f>E8/F8</f>
        <v>10299.316296296298</v>
      </c>
      <c r="H8" s="31"/>
      <c r="I8" s="32"/>
      <c r="J8" s="32"/>
      <c r="K8" s="32"/>
    </row>
    <row r="9" spans="1:11" s="33" customFormat="1" ht="14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7" t="s">
        <v>39</v>
      </c>
      <c r="B10" s="697"/>
      <c r="C10" s="35">
        <v>361</v>
      </c>
      <c r="D10" s="37">
        <v>109.6</v>
      </c>
      <c r="E10" s="37">
        <f>C10*D10</f>
        <v>39565.599999999999</v>
      </c>
      <c r="F10" s="36">
        <v>6</v>
      </c>
      <c r="G10" s="76">
        <f>E10/F10</f>
        <v>6594.2666666666664</v>
      </c>
      <c r="H10" s="31"/>
      <c r="I10" s="32"/>
      <c r="J10" s="32"/>
      <c r="K10" s="32"/>
    </row>
    <row r="11" spans="1:11" s="33" customFormat="1" ht="11.1" customHeight="1" x14ac:dyDescent="0.25">
      <c r="A11" s="697" t="s">
        <v>40</v>
      </c>
      <c r="B11" s="697"/>
      <c r="C11" s="35">
        <v>722</v>
      </c>
      <c r="D11" s="37">
        <v>109.1</v>
      </c>
      <c r="E11" s="37">
        <f>C11*D11</f>
        <v>78770.2</v>
      </c>
      <c r="F11" s="36">
        <v>6</v>
      </c>
      <c r="G11" s="76">
        <f>E11/F11</f>
        <v>13128.366666666667</v>
      </c>
      <c r="H11" s="31"/>
      <c r="I11" s="32"/>
      <c r="J11" s="32"/>
      <c r="K11" s="32"/>
    </row>
    <row r="12" spans="1:11" s="33" customFormat="1" ht="11.1" customHeight="1" x14ac:dyDescent="0.25">
      <c r="A12" s="697" t="s">
        <v>41</v>
      </c>
      <c r="B12" s="697"/>
      <c r="C12" s="35">
        <v>129</v>
      </c>
      <c r="D12" s="37">
        <v>143.80000000000001</v>
      </c>
      <c r="E12" s="37">
        <f>C12*D12</f>
        <v>18550.2</v>
      </c>
      <c r="F12" s="36">
        <v>1</v>
      </c>
      <c r="G12" s="76">
        <f>E12/F12</f>
        <v>18550.2</v>
      </c>
      <c r="H12" s="31"/>
      <c r="I12" s="32"/>
      <c r="J12" s="32"/>
      <c r="K12" s="32"/>
    </row>
    <row r="13" spans="1:11" s="33" customFormat="1" ht="14.1" customHeight="1" x14ac:dyDescent="0.25">
      <c r="A13" s="696" t="s">
        <v>48</v>
      </c>
      <c r="B13" s="696"/>
      <c r="C13" s="30">
        <f>SUM(C10:C12)</f>
        <v>1212</v>
      </c>
      <c r="D13" s="37"/>
      <c r="E13" s="29">
        <f>SUM(E10:E12)</f>
        <v>136886</v>
      </c>
      <c r="F13" s="36">
        <f>SUM(F10:F12)</f>
        <v>13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6" t="s">
        <v>52</v>
      </c>
      <c r="B19" s="696"/>
      <c r="C19" s="38"/>
      <c r="D19" s="37">
        <f>SUM(D18)</f>
        <v>0</v>
      </c>
      <c r="E19" s="29"/>
      <c r="F19" s="36">
        <f>F8+F13</f>
        <v>40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702" t="s">
        <v>148</v>
      </c>
      <c r="B21" s="703"/>
      <c r="C21" s="46">
        <f>C8+C13</f>
        <v>3714</v>
      </c>
      <c r="D21" s="37"/>
      <c r="E21" s="29">
        <f>E8+E13</f>
        <v>414967.54000000004</v>
      </c>
      <c r="F21" s="170">
        <f>F8+F13</f>
        <v>40</v>
      </c>
    </row>
    <row r="22" spans="1:11" ht="14.1" hidden="1" customHeight="1" x14ac:dyDescent="0.25">
      <c r="A22" s="692"/>
      <c r="B22" s="692"/>
      <c r="C22" s="49"/>
      <c r="D22" s="50"/>
      <c r="E22" s="51"/>
      <c r="F22" s="36"/>
      <c r="G22" s="77"/>
    </row>
    <row r="23" spans="1:11" ht="14.1" hidden="1" customHeight="1" x14ac:dyDescent="0.25">
      <c r="A23" s="693" t="s">
        <v>8</v>
      </c>
      <c r="B23" s="693"/>
      <c r="C23" s="46"/>
      <c r="D23" s="50"/>
      <c r="E23" s="52">
        <f>E21</f>
        <v>414967.54000000004</v>
      </c>
      <c r="F23" s="1"/>
    </row>
    <row r="24" spans="1:11" ht="6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13188.533333333333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  <c r="G26" s="167">
        <f>62248.75/15%</f>
        <v>414991.66666666669</v>
      </c>
    </row>
    <row r="27" spans="1:11" ht="11.1" customHeight="1" x14ac:dyDescent="0.25">
      <c r="A27" s="59" t="s">
        <v>54</v>
      </c>
      <c r="B27" s="64">
        <v>0.1</v>
      </c>
      <c r="C27" s="61"/>
      <c r="D27" s="51">
        <f>B27*G26</f>
        <v>41499.166666666672</v>
      </c>
      <c r="E27" s="51">
        <f>B27*E23</f>
        <v>41496.754000000008</v>
      </c>
      <c r="F27" s="1"/>
      <c r="H27" s="27">
        <v>118408</v>
      </c>
    </row>
    <row r="28" spans="1:11" ht="11.1" customHeight="1" x14ac:dyDescent="0.25">
      <c r="A28" s="59" t="s">
        <v>15</v>
      </c>
      <c r="B28" s="64">
        <v>0</v>
      </c>
      <c r="C28" s="48"/>
      <c r="D28" s="17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4">
        <v>0.05</v>
      </c>
      <c r="C29" s="61"/>
      <c r="D29" s="51">
        <f>B29*G26</f>
        <v>20749.583333333336</v>
      </c>
      <c r="E29" s="51">
        <f>(E23+E27+E28)*B29</f>
        <v>22823.214700000004</v>
      </c>
      <c r="F29" s="63"/>
      <c r="H29" s="27">
        <f>H27/30</f>
        <v>3946.9333333333334</v>
      </c>
    </row>
    <row r="30" spans="1:11" ht="11.1" customHeight="1" x14ac:dyDescent="0.25">
      <c r="A30" s="59" t="s">
        <v>17</v>
      </c>
      <c r="B30" s="64"/>
      <c r="C30" s="48"/>
      <c r="D30" s="52">
        <f>SUM(D27:D29)</f>
        <v>62248.750000000007</v>
      </c>
      <c r="E30" s="52">
        <f>SUM(E27:E29)</f>
        <v>64319.968700000012</v>
      </c>
      <c r="F30" s="56"/>
    </row>
    <row r="31" spans="1:11" ht="11.1" hidden="1" customHeight="1" x14ac:dyDescent="0.25">
      <c r="A31" s="59"/>
      <c r="B31" s="64"/>
      <c r="C31" s="48"/>
      <c r="D31" s="51"/>
      <c r="E31" s="51"/>
      <c r="F31" s="56"/>
    </row>
    <row r="32" spans="1:11" ht="11.1" customHeight="1" x14ac:dyDescent="0.25">
      <c r="A32" s="59" t="s">
        <v>18</v>
      </c>
      <c r="B32" s="64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v>17110.66</v>
      </c>
      <c r="E33" s="51">
        <f>B33*D41</f>
        <v>3410.3654149425292</v>
      </c>
      <c r="F33" s="56"/>
      <c r="G33" s="75">
        <f>17110.66/0.65%</f>
        <v>2632409.2307692305</v>
      </c>
      <c r="H33" s="27">
        <v>14217.85</v>
      </c>
    </row>
    <row r="34" spans="1:11" ht="11.1" customHeight="1" x14ac:dyDescent="0.25">
      <c r="A34" s="59" t="s">
        <v>20</v>
      </c>
      <c r="B34" s="64">
        <v>0.03</v>
      </c>
      <c r="C34" s="65"/>
      <c r="D34" s="51">
        <v>3707.31</v>
      </c>
      <c r="E34" s="51">
        <f>B34*D41</f>
        <v>15740.14806896552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4">
        <v>0.05</v>
      </c>
      <c r="C35" s="65"/>
      <c r="D35" s="51">
        <v>28517.77</v>
      </c>
      <c r="E35" s="51">
        <f>B35*D41</f>
        <v>26233.580114942535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52">
        <f>SUM(D33:D35)</f>
        <v>49335.740000000005</v>
      </c>
      <c r="E36" s="52">
        <f>SUM(E33:E35)</f>
        <v>45384.093598850581</v>
      </c>
      <c r="F36" s="56"/>
      <c r="H36" s="27">
        <f>H34-F23-D30</f>
        <v>2125112.7884615385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16426.23</v>
      </c>
      <c r="E37" s="51"/>
      <c r="F37" s="56"/>
      <c r="H37" s="66">
        <f>D34/B34</f>
        <v>123577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27377.06</v>
      </c>
      <c r="E38" s="51"/>
      <c r="F38" s="56"/>
      <c r="G38" s="75">
        <f>D36+D37+D38</f>
        <v>93139.03</v>
      </c>
      <c r="H38" s="27">
        <f>D35/B35</f>
        <v>570355.4</v>
      </c>
    </row>
    <row r="39" spans="1:11" ht="14.1" hidden="1" customHeight="1" x14ac:dyDescent="0.25">
      <c r="A39" s="694" t="s">
        <v>58</v>
      </c>
      <c r="B39" s="694"/>
      <c r="C39" s="54"/>
      <c r="D39" s="67">
        <v>600000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5" t="s">
        <v>59</v>
      </c>
      <c r="B40" s="695"/>
      <c r="C40" s="48"/>
      <c r="D40" s="52">
        <f>E23+E30</f>
        <v>479287.50870000006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5" t="s">
        <v>60</v>
      </c>
      <c r="B41" s="695"/>
      <c r="C41" s="48"/>
      <c r="D41" s="68">
        <f>D40/(1-B36)</f>
        <v>524671.60229885066</v>
      </c>
      <c r="E41" s="56"/>
      <c r="F41" s="56"/>
      <c r="H41" s="27">
        <f>5%*H34</f>
        <v>109368.07692307694</v>
      </c>
    </row>
    <row r="42" spans="1:11" s="72" customFormat="1" ht="14.1" customHeight="1" x14ac:dyDescent="0.25">
      <c r="A42" s="691" t="s">
        <v>24</v>
      </c>
      <c r="B42" s="691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4.1" customHeight="1" x14ac:dyDescent="0.25">
      <c r="A43" s="691" t="s">
        <v>26</v>
      </c>
      <c r="B43" s="691"/>
      <c r="C43" s="45"/>
      <c r="D43" s="52">
        <f>E23+D30+D36+D37+D38</f>
        <v>570355.32000000007</v>
      </c>
      <c r="E43" s="52">
        <f>E23+E30+E36</f>
        <v>524671.60229885066</v>
      </c>
      <c r="F43" s="52">
        <f>D43-E43</f>
        <v>45683.717701149406</v>
      </c>
      <c r="H43" s="27">
        <f>B34/D34</f>
        <v>8.0921207020723924E-6</v>
      </c>
    </row>
    <row r="44" spans="1:11" ht="14.1" customHeight="1" x14ac:dyDescent="0.25">
      <c r="A44" s="691" t="s">
        <v>27</v>
      </c>
      <c r="B44" s="691"/>
      <c r="C44" s="46"/>
      <c r="D44" s="52">
        <f>D43*6</f>
        <v>3422131.9200000004</v>
      </c>
      <c r="E44" s="52">
        <f>E43*6</f>
        <v>3148029.613793104</v>
      </c>
      <c r="F44" s="52">
        <f>D44-E44</f>
        <v>274102.30620689644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AMJ51"/>
  <sheetViews>
    <sheetView zoomScale="120" zoomScaleNormal="12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61</v>
      </c>
      <c r="B1" s="688"/>
      <c r="C1" s="688"/>
      <c r="D1" s="688"/>
      <c r="E1" s="688"/>
      <c r="F1" s="688"/>
    </row>
    <row r="2" spans="1:11" s="33" customFormat="1" ht="26.2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1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7" t="s">
        <v>39</v>
      </c>
      <c r="B4" s="697"/>
      <c r="C4" s="35">
        <v>722</v>
      </c>
      <c r="D4" s="37">
        <v>180</v>
      </c>
      <c r="E4" s="37">
        <f>C4*D4</f>
        <v>129960</v>
      </c>
      <c r="F4" s="36">
        <v>6</v>
      </c>
      <c r="G4" s="76">
        <f>E4/F4</f>
        <v>21660</v>
      </c>
      <c r="H4" s="31"/>
      <c r="I4" s="32"/>
      <c r="J4" s="32"/>
      <c r="K4" s="32"/>
    </row>
    <row r="5" spans="1:11" s="33" customFormat="1" ht="11.1" customHeight="1" x14ac:dyDescent="0.25">
      <c r="A5" s="697" t="s">
        <v>40</v>
      </c>
      <c r="B5" s="697"/>
      <c r="C5" s="35">
        <v>1445</v>
      </c>
      <c r="D5" s="37">
        <v>148</v>
      </c>
      <c r="E5" s="37">
        <f>C5*D5</f>
        <v>213860</v>
      </c>
      <c r="F5" s="36">
        <v>12</v>
      </c>
      <c r="G5" s="76">
        <f>E5/F5</f>
        <v>17821.666666666668</v>
      </c>
      <c r="H5" s="31"/>
      <c r="I5" s="32"/>
      <c r="J5" s="32"/>
      <c r="K5" s="32"/>
    </row>
    <row r="6" spans="1:11" s="33" customFormat="1" ht="11.1" customHeight="1" x14ac:dyDescent="0.25">
      <c r="A6" s="697" t="s">
        <v>41</v>
      </c>
      <c r="B6" s="697"/>
      <c r="C6" s="35">
        <v>129</v>
      </c>
      <c r="D6" s="37">
        <v>191</v>
      </c>
      <c r="E6" s="37">
        <f>C6*D6</f>
        <v>24639</v>
      </c>
      <c r="F6" s="36">
        <v>3</v>
      </c>
      <c r="G6" s="76">
        <f>E6/F6</f>
        <v>8213</v>
      </c>
      <c r="H6" s="31"/>
      <c r="I6" s="32"/>
      <c r="J6" s="32"/>
      <c r="K6" s="32"/>
    </row>
    <row r="7" spans="1:11" s="33" customFormat="1" ht="11.1" customHeight="1" x14ac:dyDescent="0.25">
      <c r="A7" s="697" t="s">
        <v>42</v>
      </c>
      <c r="B7" s="697"/>
      <c r="C7" s="35">
        <v>206</v>
      </c>
      <c r="D7" s="37">
        <v>148</v>
      </c>
      <c r="E7" s="37">
        <f>C7*D7</f>
        <v>30488</v>
      </c>
      <c r="F7" s="36">
        <v>2</v>
      </c>
      <c r="G7" s="76">
        <f>E7/F7</f>
        <v>15244</v>
      </c>
      <c r="H7" s="31"/>
      <c r="I7" s="32"/>
      <c r="J7" s="32"/>
      <c r="K7" s="32"/>
    </row>
    <row r="8" spans="1:11" s="33" customFormat="1" ht="11.1" customHeight="1" x14ac:dyDescent="0.25">
      <c r="A8" s="696" t="s">
        <v>43</v>
      </c>
      <c r="B8" s="696"/>
      <c r="C8" s="30">
        <f>SUM(C4:C7)</f>
        <v>2502</v>
      </c>
      <c r="D8" s="30"/>
      <c r="E8" s="29">
        <f>SUM(E4:E7)</f>
        <v>398947</v>
      </c>
      <c r="F8" s="30">
        <f>SUM(F4:F7)</f>
        <v>23</v>
      </c>
      <c r="G8" s="76">
        <f>E8/F8</f>
        <v>17345.521739130436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7" t="s">
        <v>39</v>
      </c>
      <c r="B10" s="697"/>
      <c r="C10" s="35">
        <v>361</v>
      </c>
      <c r="D10" s="37">
        <v>180</v>
      </c>
      <c r="E10" s="37">
        <f>C10*D10</f>
        <v>64980</v>
      </c>
      <c r="F10" s="36">
        <v>3</v>
      </c>
      <c r="G10" s="76">
        <f>E10/F10</f>
        <v>21660</v>
      </c>
      <c r="H10" s="31"/>
      <c r="I10" s="32"/>
      <c r="J10" s="32"/>
      <c r="K10" s="32"/>
    </row>
    <row r="11" spans="1:11" s="33" customFormat="1" ht="11.1" customHeight="1" x14ac:dyDescent="0.25">
      <c r="A11" s="697" t="s">
        <v>40</v>
      </c>
      <c r="B11" s="697"/>
      <c r="C11" s="35">
        <v>722</v>
      </c>
      <c r="D11" s="37">
        <v>148</v>
      </c>
      <c r="E11" s="37">
        <f>C11*D11</f>
        <v>106856</v>
      </c>
      <c r="F11" s="36">
        <v>6</v>
      </c>
      <c r="G11" s="76">
        <f>E11/F11</f>
        <v>17809.333333333332</v>
      </c>
      <c r="H11" s="31"/>
      <c r="I11" s="32"/>
      <c r="J11" s="32"/>
      <c r="K11" s="32"/>
    </row>
    <row r="12" spans="1:11" s="33" customFormat="1" ht="11.1" customHeight="1" x14ac:dyDescent="0.25">
      <c r="A12" s="697" t="s">
        <v>41</v>
      </c>
      <c r="B12" s="697"/>
      <c r="C12" s="35">
        <v>129</v>
      </c>
      <c r="D12" s="37">
        <v>191</v>
      </c>
      <c r="E12" s="37">
        <f>C12*D12</f>
        <v>24639</v>
      </c>
      <c r="F12" s="36">
        <v>2</v>
      </c>
      <c r="G12" s="76">
        <f>E12/F12</f>
        <v>12319.5</v>
      </c>
      <c r="H12" s="31"/>
      <c r="I12" s="32"/>
      <c r="J12" s="32"/>
      <c r="K12" s="32"/>
    </row>
    <row r="13" spans="1:11" s="33" customFormat="1" ht="11.1" customHeight="1" x14ac:dyDescent="0.25">
      <c r="A13" s="696" t="s">
        <v>48</v>
      </c>
      <c r="B13" s="696"/>
      <c r="C13" s="30">
        <f>SUM(C10:C12)</f>
        <v>1212</v>
      </c>
      <c r="D13" s="37">
        <f>SUM(D10:D12)</f>
        <v>519</v>
      </c>
      <c r="E13" s="29">
        <f>SUM(E10:E12)</f>
        <v>196475</v>
      </c>
      <c r="F13" s="36">
        <f>SUM(F10:F12)</f>
        <v>11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6" t="s">
        <v>52</v>
      </c>
      <c r="B19" s="696"/>
      <c r="C19" s="38"/>
      <c r="D19" s="37">
        <f>SUM(D18)</f>
        <v>0</v>
      </c>
      <c r="E19" s="29"/>
      <c r="F19" s="36">
        <f>F8+F13</f>
        <v>34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1.1" customHeight="1" x14ac:dyDescent="0.25">
      <c r="A21" s="693" t="s">
        <v>148</v>
      </c>
      <c r="B21" s="693"/>
      <c r="C21" s="46">
        <f>C8+C13</f>
        <v>3714</v>
      </c>
      <c r="D21" s="37"/>
      <c r="E21" s="29">
        <f>E8+E13</f>
        <v>595422</v>
      </c>
      <c r="F21" s="170">
        <f>F8+F13</f>
        <v>34</v>
      </c>
    </row>
    <row r="22" spans="1:11" ht="14.1" hidden="1" customHeight="1" x14ac:dyDescent="0.25">
      <c r="A22" s="692"/>
      <c r="B22" s="692"/>
      <c r="C22" s="49"/>
      <c r="D22" s="50"/>
      <c r="E22" s="51"/>
      <c r="F22" s="36"/>
      <c r="G22" s="77"/>
    </row>
    <row r="23" spans="1:11" ht="14.1" customHeight="1" x14ac:dyDescent="0.25">
      <c r="A23" s="693" t="s">
        <v>8</v>
      </c>
      <c r="B23" s="693"/>
      <c r="C23" s="46"/>
      <c r="D23" s="50"/>
      <c r="E23" s="52">
        <f>E21</f>
        <v>595422</v>
      </c>
      <c r="F23" s="1"/>
    </row>
    <row r="24" spans="1:11" ht="9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43320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0.10879999999999999</v>
      </c>
      <c r="C27" s="61"/>
      <c r="D27" s="51">
        <f>B27*E23</f>
        <v>64781.9136</v>
      </c>
      <c r="E27" s="51">
        <f>B27*E23</f>
        <v>64781.9136</v>
      </c>
      <c r="F27" s="1"/>
      <c r="G27" s="75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7.4700000000000003E-2</v>
      </c>
      <c r="C29" s="61"/>
      <c r="D29" s="51">
        <f>B29*E23</f>
        <v>44478.023399999998</v>
      </c>
      <c r="E29" s="51">
        <f>(E23+E27+E28)*B29</f>
        <v>49317.232345919998</v>
      </c>
      <c r="F29" s="63"/>
      <c r="G29" s="75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172">
        <f>SUM(D27:D29)</f>
        <v>109259.93700000001</v>
      </c>
      <c r="E30" s="52">
        <f>SUM(E27:E29)</f>
        <v>114099.14594592</v>
      </c>
      <c r="F30" s="56"/>
      <c r="G30" s="75">
        <f>G25/G29</f>
        <v>7.2131950989632418E-2</v>
      </c>
    </row>
    <row r="31" spans="1:11" ht="11.1" customHeight="1" x14ac:dyDescent="0.25">
      <c r="A31" s="59"/>
      <c r="B31" s="48"/>
      <c r="C31" s="48"/>
      <c r="D31" s="17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173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171">
        <f>B33*$D$39</f>
        <v>3870.2429999999999</v>
      </c>
      <c r="E33" s="51">
        <f>B33*D41</f>
        <v>5048.5905294455179</v>
      </c>
      <c r="F33" s="56"/>
      <c r="G33" s="56">
        <f>3870.24/0.65%</f>
        <v>595421.53846153838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171">
        <f>B34*$D$39</f>
        <v>17862.66</v>
      </c>
      <c r="E34" s="51">
        <f>B34*D41</f>
        <v>23301.187058979311</v>
      </c>
      <c r="F34" s="56"/>
      <c r="G34" s="56">
        <f>17862.66/3%</f>
        <v>595422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5">
        <v>0.05</v>
      </c>
      <c r="C35" s="65"/>
      <c r="D35" s="171">
        <f>B35*$D$39</f>
        <v>29771.100000000002</v>
      </c>
      <c r="E35" s="51">
        <f>B35*D41</f>
        <v>38835.311764965525</v>
      </c>
      <c r="F35" s="56"/>
      <c r="G35" s="56">
        <f>29771.1/5%</f>
        <v>595421.99999999988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172">
        <f>SUM(D33:D35)</f>
        <v>51504.002999999997</v>
      </c>
      <c r="E36" s="52">
        <f>SUM(E33:E35)</f>
        <v>67185.089353390358</v>
      </c>
      <c r="F36" s="56"/>
      <c r="H36" s="27">
        <f>H34-F23-D30</f>
        <v>2078101.6014615386</v>
      </c>
    </row>
    <row r="37" spans="1:11" ht="11.1" hidden="1" customHeight="1" x14ac:dyDescent="0.25">
      <c r="A37" s="59" t="s">
        <v>56</v>
      </c>
      <c r="B37" s="64">
        <v>0</v>
      </c>
      <c r="C37" s="64"/>
      <c r="D37" s="51">
        <v>0</v>
      </c>
      <c r="E37" s="51"/>
      <c r="F37" s="56"/>
      <c r="H37" s="66">
        <f>D34/B34</f>
        <v>595422</v>
      </c>
    </row>
    <row r="38" spans="1:11" ht="11.1" hidden="1" customHeight="1" x14ac:dyDescent="0.25">
      <c r="A38" s="59" t="s">
        <v>57</v>
      </c>
      <c r="B38" s="64">
        <v>0</v>
      </c>
      <c r="C38" s="64"/>
      <c r="D38" s="51">
        <v>0</v>
      </c>
      <c r="E38" s="51"/>
      <c r="F38" s="56"/>
      <c r="H38" s="27">
        <f>D35/B35</f>
        <v>595422</v>
      </c>
    </row>
    <row r="39" spans="1:11" ht="14.1" hidden="1" customHeight="1" x14ac:dyDescent="0.25">
      <c r="A39" s="694" t="s">
        <v>58</v>
      </c>
      <c r="B39" s="694"/>
      <c r="C39" s="54"/>
      <c r="D39" s="79">
        <f>G34</f>
        <v>595422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5" t="s">
        <v>59</v>
      </c>
      <c r="B40" s="695"/>
      <c r="C40" s="48"/>
      <c r="D40" s="52">
        <f>E23+E30</f>
        <v>709521.14594592003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5" t="s">
        <v>60</v>
      </c>
      <c r="B41" s="695"/>
      <c r="C41" s="48"/>
      <c r="D41" s="68">
        <f>D40/(1-B36)</f>
        <v>776706.23529931041</v>
      </c>
      <c r="E41" s="56"/>
      <c r="F41" s="56"/>
      <c r="H41" s="27">
        <f>5%*H34</f>
        <v>109368.07692307694</v>
      </c>
    </row>
    <row r="42" spans="1:11" s="72" customFormat="1" ht="11.1" customHeight="1" x14ac:dyDescent="0.25">
      <c r="A42" s="691" t="s">
        <v>24</v>
      </c>
      <c r="B42" s="691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1.1" customHeight="1" x14ac:dyDescent="0.25">
      <c r="A43" s="691" t="s">
        <v>26</v>
      </c>
      <c r="B43" s="691"/>
      <c r="C43" s="45"/>
      <c r="D43" s="52">
        <f>E23+D30+D36-D30+0.18</f>
        <v>646926.18300000008</v>
      </c>
      <c r="E43" s="52">
        <f>E23+E30+E36</f>
        <v>776706.23529931041</v>
      </c>
      <c r="F43" s="52">
        <f>E43-D43</f>
        <v>129780.05229931034</v>
      </c>
      <c r="H43" s="27">
        <f>B34/D34</f>
        <v>1.6794811075170214E-6</v>
      </c>
    </row>
    <row r="44" spans="1:11" ht="11.1" customHeight="1" x14ac:dyDescent="0.25">
      <c r="A44" s="691" t="s">
        <v>27</v>
      </c>
      <c r="B44" s="691"/>
      <c r="C44" s="46"/>
      <c r="D44" s="52">
        <f>D43*6</f>
        <v>3881557.0980000002</v>
      </c>
      <c r="E44" s="52">
        <f>E43*6</f>
        <v>4660237.411795862</v>
      </c>
      <c r="F44" s="52">
        <f>E44-D44</f>
        <v>778680.31379586179</v>
      </c>
    </row>
    <row r="45" spans="1:11" x14ac:dyDescent="0.25">
      <c r="D45" s="73"/>
      <c r="F45" s="73"/>
    </row>
    <row r="46" spans="1:11" x14ac:dyDescent="0.25">
      <c r="D46" s="80">
        <f>D43-646926.18</f>
        <v>3.0000000260770321E-3</v>
      </c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AMJ59"/>
  <sheetViews>
    <sheetView zoomScale="140" zoomScaleNormal="140" workbookViewId="0">
      <selection activeCell="A2" sqref="A2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1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7" t="s">
        <v>68</v>
      </c>
      <c r="B9" s="697"/>
      <c r="C9" s="35"/>
      <c r="D9" s="36">
        <v>361</v>
      </c>
      <c r="E9" s="37">
        <v>176.2</v>
      </c>
      <c r="F9" s="37">
        <f>D9*E9</f>
        <v>63608.2</v>
      </c>
      <c r="G9" s="36">
        <v>8</v>
      </c>
      <c r="H9" s="32"/>
      <c r="I9" s="32"/>
      <c r="J9" s="32"/>
      <c r="K9" s="32"/>
    </row>
    <row r="10" spans="1:11" s="33" customFormat="1" ht="14.1" customHeight="1" x14ac:dyDescent="0.25">
      <c r="A10" s="697" t="s">
        <v>69</v>
      </c>
      <c r="B10" s="697"/>
      <c r="C10" s="35"/>
      <c r="D10" s="36">
        <v>722</v>
      </c>
      <c r="E10" s="37">
        <v>176.2</v>
      </c>
      <c r="F10" s="37">
        <f>D10*E10</f>
        <v>127216.4</v>
      </c>
      <c r="G10" s="36">
        <v>8</v>
      </c>
      <c r="H10" s="32"/>
      <c r="I10" s="32"/>
      <c r="J10" s="32"/>
      <c r="K10" s="32"/>
    </row>
    <row r="11" spans="1:11" s="33" customFormat="1" ht="14.1" customHeight="1" x14ac:dyDescent="0.25">
      <c r="A11" s="697" t="s">
        <v>70</v>
      </c>
      <c r="B11" s="697"/>
      <c r="C11" s="35"/>
      <c r="D11" s="36">
        <v>361</v>
      </c>
      <c r="E11" s="37">
        <v>155.85</v>
      </c>
      <c r="F11" s="37">
        <f>D11*E11</f>
        <v>56261.85</v>
      </c>
      <c r="G11" s="36">
        <v>6</v>
      </c>
      <c r="H11" s="32"/>
      <c r="I11" s="32"/>
      <c r="J11" s="32"/>
      <c r="K11" s="32"/>
    </row>
    <row r="12" spans="1:11" s="33" customFormat="1" ht="14.1" customHeight="1" x14ac:dyDescent="0.25">
      <c r="A12" s="697" t="s">
        <v>71</v>
      </c>
      <c r="B12" s="697"/>
      <c r="C12" s="35"/>
      <c r="D12" s="36">
        <v>129</v>
      </c>
      <c r="E12" s="37">
        <v>155.85</v>
      </c>
      <c r="F12" s="37">
        <f>D12*E12</f>
        <v>20104.649999999998</v>
      </c>
      <c r="G12" s="36">
        <v>8</v>
      </c>
      <c r="H12" s="32"/>
      <c r="I12" s="32"/>
      <c r="J12" s="32"/>
      <c r="K12" s="32"/>
    </row>
    <row r="13" spans="1:11" s="33" customFormat="1" ht="14.1" customHeight="1" x14ac:dyDescent="0.25">
      <c r="A13" s="34" t="s">
        <v>41</v>
      </c>
      <c r="B13" s="42"/>
      <c r="C13" s="35"/>
      <c r="D13" s="36">
        <v>129</v>
      </c>
      <c r="E13" s="37">
        <v>199.15</v>
      </c>
      <c r="F13" s="37">
        <f>D13*E13</f>
        <v>25690.350000000002</v>
      </c>
      <c r="G13" s="36">
        <v>8</v>
      </c>
      <c r="H13" s="32"/>
      <c r="I13" s="32"/>
      <c r="J13" s="32"/>
      <c r="K13" s="32"/>
    </row>
    <row r="14" spans="1:11" s="33" customFormat="1" ht="14.1" customHeight="1" x14ac:dyDescent="0.25">
      <c r="A14" s="696" t="s">
        <v>72</v>
      </c>
      <c r="B14" s="696"/>
      <c r="C14" s="38"/>
      <c r="D14" s="30">
        <f>SUM(D9:D13)</f>
        <v>1702</v>
      </c>
      <c r="E14" s="29"/>
      <c r="F14" s="29">
        <f>SUM(F9:F13)</f>
        <v>292881.44999999995</v>
      </c>
      <c r="G14" s="36">
        <f>SUM(G9:G13)</f>
        <v>38</v>
      </c>
      <c r="H14" s="32"/>
      <c r="I14" s="32"/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4.1" customHeight="1" x14ac:dyDescent="0.25">
      <c r="A16" s="697" t="s">
        <v>39</v>
      </c>
      <c r="B16" s="697"/>
      <c r="C16" s="35"/>
      <c r="D16" s="36">
        <v>722</v>
      </c>
      <c r="E16" s="37">
        <v>176.2</v>
      </c>
      <c r="F16" s="37">
        <f t="shared" ref="F16:F21" si="0">D16*E16</f>
        <v>127216.4</v>
      </c>
      <c r="G16" s="36">
        <v>8</v>
      </c>
      <c r="H16" s="32"/>
      <c r="I16" s="32"/>
      <c r="J16" s="32"/>
      <c r="K16" s="32"/>
    </row>
    <row r="17" spans="1:11" s="33" customFormat="1" ht="14.1" customHeight="1" x14ac:dyDescent="0.25">
      <c r="A17" s="697" t="s">
        <v>40</v>
      </c>
      <c r="B17" s="697"/>
      <c r="C17" s="35"/>
      <c r="D17" s="36">
        <v>1445</v>
      </c>
      <c r="E17" s="37">
        <v>176.2</v>
      </c>
      <c r="F17" s="37">
        <f t="shared" si="0"/>
        <v>254608.99999999997</v>
      </c>
      <c r="G17" s="36">
        <v>8</v>
      </c>
      <c r="H17" s="32"/>
      <c r="I17" s="32"/>
      <c r="J17" s="32"/>
      <c r="K17" s="32"/>
    </row>
    <row r="18" spans="1:11" s="33" customFormat="1" ht="14.1" customHeight="1" x14ac:dyDescent="0.25">
      <c r="A18" s="697" t="s">
        <v>41</v>
      </c>
      <c r="B18" s="697"/>
      <c r="C18" s="35"/>
      <c r="D18" s="36">
        <v>129</v>
      </c>
      <c r="E18" s="37">
        <v>199.15</v>
      </c>
      <c r="F18" s="37">
        <f t="shared" si="0"/>
        <v>25690.350000000002</v>
      </c>
      <c r="G18" s="36">
        <v>8</v>
      </c>
      <c r="H18" s="32"/>
      <c r="I18" s="32"/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4.1" customHeight="1" x14ac:dyDescent="0.25">
      <c r="A22" s="696" t="s">
        <v>74</v>
      </c>
      <c r="B22" s="696"/>
      <c r="C22" s="30">
        <f>SUM(C16:C21)</f>
        <v>0</v>
      </c>
      <c r="D22" s="30">
        <f>SUM(D16:D21)</f>
        <v>2296</v>
      </c>
      <c r="E22" s="29"/>
      <c r="F22" s="29">
        <f>SUM(F16:F21)</f>
        <v>407515.74999999994</v>
      </c>
      <c r="G22" s="36">
        <f>SUM(G16:G21)</f>
        <v>24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3" t="s">
        <v>7</v>
      </c>
      <c r="B30" s="693"/>
      <c r="C30" s="46"/>
      <c r="D30" s="30">
        <f>D7+D14+D22+D25+D28</f>
        <v>3998</v>
      </c>
      <c r="E30" s="47"/>
      <c r="F30" s="29">
        <f>F7+F14+F22+F25+F28</f>
        <v>700397.2</v>
      </c>
      <c r="G30" s="36">
        <f>G22+G14</f>
        <v>62</v>
      </c>
    </row>
    <row r="31" spans="1:11" ht="14.1" customHeight="1" x14ac:dyDescent="0.25">
      <c r="A31" s="692"/>
      <c r="B31" s="692"/>
      <c r="C31" s="49"/>
      <c r="D31" s="50"/>
      <c r="E31" s="51"/>
      <c r="F31" s="51"/>
      <c r="G31" s="36"/>
    </row>
    <row r="32" spans="1:11" ht="14.1" customHeight="1" x14ac:dyDescent="0.25">
      <c r="A32" s="693" t="s">
        <v>8</v>
      </c>
      <c r="B32" s="693"/>
      <c r="C32" s="46"/>
      <c r="D32" s="50"/>
      <c r="E32" s="51"/>
      <c r="F32" s="68">
        <f>SUM(F30:F31)</f>
        <v>700397.2</v>
      </c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57" t="s">
        <v>9</v>
      </c>
      <c r="C34" s="48"/>
      <c r="D34" s="50" t="s">
        <v>10</v>
      </c>
      <c r="E34" s="58" t="s">
        <v>11</v>
      </c>
      <c r="F34" s="56"/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0.06</v>
      </c>
      <c r="C36" s="61"/>
      <c r="D36" s="51">
        <f>B36*F32</f>
        <v>42023.831999999995</v>
      </c>
      <c r="E36" s="51">
        <f>B36*F32</f>
        <v>42023.831999999995</v>
      </c>
      <c r="F36" s="62"/>
      <c r="H36" s="1">
        <f>F32+D36</f>
        <v>742421.03199999989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0</v>
      </c>
      <c r="E37" s="51">
        <f>D37</f>
        <v>0</v>
      </c>
      <c r="F37" s="56"/>
    </row>
    <row r="38" spans="1:8" ht="14.1" customHeight="1" x14ac:dyDescent="0.25">
      <c r="A38" s="59" t="s">
        <v>55</v>
      </c>
      <c r="B38" s="61">
        <v>0.04</v>
      </c>
      <c r="C38" s="61"/>
      <c r="D38" s="51">
        <f>(F32+E36+E37)*B38</f>
        <v>29696.841279999997</v>
      </c>
      <c r="E38" s="51">
        <f>(F32+E36+E37)*B38</f>
        <v>29696.841279999997</v>
      </c>
      <c r="F38" s="63"/>
    </row>
    <row r="39" spans="1:8" ht="14.1" customHeight="1" x14ac:dyDescent="0.25">
      <c r="A39" s="59" t="s">
        <v>17</v>
      </c>
      <c r="B39" s="48"/>
      <c r="C39" s="48"/>
      <c r="D39" s="68">
        <f>SUM(D36:D38)</f>
        <v>71720.673279999988</v>
      </c>
      <c r="E39" s="52">
        <f>SUM(E36:E38)</f>
        <v>71720.673279999988</v>
      </c>
      <c r="F39" s="56"/>
    </row>
    <row r="40" spans="1:8" ht="14.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B42*D48</f>
        <v>5018.7661763199994</v>
      </c>
      <c r="E42" s="51">
        <f>B42*D50</f>
        <v>5493.9969089436236</v>
      </c>
      <c r="F42" s="81">
        <f>B42*D52</f>
        <v>5452.8894505716789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B43*D48</f>
        <v>23163.536198399997</v>
      </c>
      <c r="E43" s="51">
        <f>B43*D50</f>
        <v>25356.90881050903</v>
      </c>
      <c r="F43" s="81">
        <f>B43*D52</f>
        <v>25167.182079561597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B44*D48</f>
        <v>38605.893663999996</v>
      </c>
      <c r="E44" s="51">
        <f>B44*D50</f>
        <v>42261.514684181719</v>
      </c>
      <c r="F44" s="81">
        <f>B44*D52</f>
        <v>41945.303465935998</v>
      </c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66788.196038719994</v>
      </c>
      <c r="E45" s="52">
        <f>SUM(E42:E44)</f>
        <v>73112.420403634373</v>
      </c>
      <c r="F45" s="56"/>
      <c r="H45" s="1">
        <f>B45*D55</f>
        <v>0</v>
      </c>
    </row>
    <row r="46" spans="1:8" ht="14.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82"/>
    </row>
    <row r="47" spans="1:8" ht="14.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</row>
    <row r="48" spans="1:8" ht="14.1" customHeight="1" x14ac:dyDescent="0.25">
      <c r="A48" s="694" t="s">
        <v>58</v>
      </c>
      <c r="B48" s="694"/>
      <c r="C48" s="54"/>
      <c r="D48" s="67">
        <f>F32+D39</f>
        <v>772117.87327999994</v>
      </c>
      <c r="E48" s="56"/>
      <c r="F48" s="56"/>
    </row>
    <row r="49" spans="1:11" ht="14.1" customHeight="1" x14ac:dyDescent="0.25">
      <c r="A49" s="695" t="s">
        <v>59</v>
      </c>
      <c r="B49" s="695"/>
      <c r="C49" s="48"/>
      <c r="D49" s="52">
        <f>F32+E39</f>
        <v>772117.87327999994</v>
      </c>
      <c r="E49" s="56"/>
      <c r="F49" s="56"/>
    </row>
    <row r="50" spans="1:11" ht="14.1" customHeight="1" x14ac:dyDescent="0.25">
      <c r="A50" s="695" t="s">
        <v>60</v>
      </c>
      <c r="B50" s="695"/>
      <c r="C50" s="48"/>
      <c r="D50" s="68">
        <f>D49/(1-B45)</f>
        <v>845230.29368363437</v>
      </c>
      <c r="E50" s="56"/>
      <c r="F50" s="56"/>
    </row>
    <row r="51" spans="1:11" s="72" customFormat="1" ht="14.1" customHeight="1" x14ac:dyDescent="0.25">
      <c r="A51" s="691" t="s">
        <v>24</v>
      </c>
      <c r="B51" s="691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F32+D39+D45</f>
        <v>838906.06931871991</v>
      </c>
      <c r="E52" s="52">
        <f>F32+E39+E45</f>
        <v>845230.29368363437</v>
      </c>
      <c r="F52" s="52">
        <f>E52-D52</f>
        <v>6324.2243649144657</v>
      </c>
    </row>
    <row r="53" spans="1:11" ht="14.1" customHeight="1" x14ac:dyDescent="0.25">
      <c r="A53" s="691" t="s">
        <v>27</v>
      </c>
      <c r="B53" s="691"/>
      <c r="C53" s="46"/>
      <c r="D53" s="52">
        <f>D52*6</f>
        <v>5033436.415912319</v>
      </c>
      <c r="E53" s="52">
        <f>E52*6</f>
        <v>5071381.7621018067</v>
      </c>
      <c r="F53" s="52">
        <f>E53-D53</f>
        <v>37945.346189487725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AMJ59"/>
  <sheetViews>
    <sheetView topLeftCell="A8" zoomScale="140" zoomScaleNormal="140" workbookViewId="0">
      <selection activeCell="K28" sqref="K28"/>
    </sheetView>
  </sheetViews>
  <sheetFormatPr defaultColWidth="9.140625" defaultRowHeight="15" x14ac:dyDescent="0.25"/>
  <cols>
    <col min="1" max="1" width="32.5703125" style="23" customWidth="1"/>
    <col min="2" max="2" width="9.7109375" style="23" customWidth="1"/>
    <col min="3" max="3" width="6.85546875" style="24" customWidth="1"/>
    <col min="4" max="4" width="11.140625" style="25" customWidth="1"/>
    <col min="5" max="5" width="12.140625" style="26" customWidth="1"/>
    <col min="6" max="6" width="11.7109375" style="26" customWidth="1"/>
    <col min="7" max="7" width="7.425781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76</v>
      </c>
      <c r="B1" s="704"/>
      <c r="C1" s="704"/>
      <c r="D1" s="704"/>
      <c r="E1" s="704"/>
      <c r="F1" s="704"/>
      <c r="G1" s="704"/>
    </row>
    <row r="2" spans="1:11" s="33" customFormat="1" ht="30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7" t="s">
        <v>68</v>
      </c>
      <c r="B9" s="697"/>
      <c r="C9" s="35"/>
      <c r="D9" s="36">
        <v>361</v>
      </c>
      <c r="E9" s="37">
        <v>120</v>
      </c>
      <c r="F9" s="37">
        <f>D9*E9</f>
        <v>43320</v>
      </c>
      <c r="G9" s="36">
        <v>7</v>
      </c>
      <c r="H9" s="32"/>
      <c r="I9" s="32"/>
      <c r="J9" s="32"/>
      <c r="K9" s="32"/>
    </row>
    <row r="10" spans="1:11" s="33" customFormat="1" ht="11.1" customHeight="1" x14ac:dyDescent="0.25">
      <c r="A10" s="697" t="s">
        <v>69</v>
      </c>
      <c r="B10" s="697"/>
      <c r="C10" s="35"/>
      <c r="D10" s="36">
        <v>722</v>
      </c>
      <c r="E10" s="37">
        <v>110</v>
      </c>
      <c r="F10" s="37">
        <f>D10*E10</f>
        <v>79420</v>
      </c>
      <c r="G10" s="36">
        <v>7</v>
      </c>
      <c r="H10" s="32"/>
      <c r="I10" s="32"/>
      <c r="J10" s="32"/>
      <c r="K10" s="32"/>
    </row>
    <row r="11" spans="1:11" s="33" customFormat="1" ht="11.1" customHeight="1" x14ac:dyDescent="0.25">
      <c r="A11" s="697" t="s">
        <v>70</v>
      </c>
      <c r="B11" s="697"/>
      <c r="C11" s="35"/>
      <c r="D11" s="36">
        <v>361</v>
      </c>
      <c r="E11" s="37">
        <v>100</v>
      </c>
      <c r="F11" s="37">
        <f>D11*E11</f>
        <v>36100</v>
      </c>
      <c r="G11" s="36">
        <v>7</v>
      </c>
      <c r="H11" s="32"/>
      <c r="I11" s="32"/>
      <c r="J11" s="32"/>
      <c r="K11" s="32"/>
    </row>
    <row r="12" spans="1:11" s="33" customFormat="1" ht="11.1" customHeight="1" x14ac:dyDescent="0.25">
      <c r="A12" s="697" t="s">
        <v>71</v>
      </c>
      <c r="B12" s="697"/>
      <c r="C12" s="35"/>
      <c r="D12" s="36">
        <v>129</v>
      </c>
      <c r="E12" s="37">
        <v>110</v>
      </c>
      <c r="F12" s="37">
        <f>D12*E12</f>
        <v>14190</v>
      </c>
      <c r="G12" s="36">
        <v>1</v>
      </c>
      <c r="H12" s="32"/>
      <c r="I12" s="32"/>
      <c r="J12" s="32"/>
      <c r="K12" s="32"/>
    </row>
    <row r="13" spans="1:11" s="33" customFormat="1" ht="11.1" customHeight="1" x14ac:dyDescent="0.25">
      <c r="A13" s="34" t="s">
        <v>41</v>
      </c>
      <c r="B13" s="42"/>
      <c r="C13" s="35"/>
      <c r="D13" s="36">
        <v>129</v>
      </c>
      <c r="E13" s="37">
        <v>120</v>
      </c>
      <c r="F13" s="37">
        <f>D13*E13</f>
        <v>15480</v>
      </c>
      <c r="G13" s="36">
        <v>1</v>
      </c>
      <c r="H13" s="32"/>
      <c r="I13" s="32"/>
      <c r="J13" s="32"/>
      <c r="K13" s="32"/>
    </row>
    <row r="14" spans="1:11" s="33" customFormat="1" ht="11.1" customHeight="1" x14ac:dyDescent="0.25">
      <c r="A14" s="696" t="s">
        <v>72</v>
      </c>
      <c r="B14" s="696"/>
      <c r="C14" s="38"/>
      <c r="D14" s="30">
        <f>SUM(D9:D13)</f>
        <v>1702</v>
      </c>
      <c r="E14" s="29"/>
      <c r="F14" s="29">
        <f>SUM(F9:F13)</f>
        <v>188510</v>
      </c>
      <c r="G14" s="36">
        <f>SUM(G9:G13)</f>
        <v>23</v>
      </c>
      <c r="H14" s="32"/>
      <c r="I14" s="32"/>
      <c r="J14" s="32"/>
      <c r="K14" s="32"/>
    </row>
    <row r="15" spans="1:11" s="33" customFormat="1" ht="11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1.1" customHeight="1" x14ac:dyDescent="0.25">
      <c r="A16" s="697" t="s">
        <v>39</v>
      </c>
      <c r="B16" s="697"/>
      <c r="C16" s="35"/>
      <c r="D16" s="36">
        <v>722</v>
      </c>
      <c r="E16" s="37">
        <v>120</v>
      </c>
      <c r="F16" s="37">
        <f t="shared" ref="F16:F21" si="0">D16*E16</f>
        <v>86640</v>
      </c>
      <c r="G16" s="36">
        <v>14</v>
      </c>
      <c r="H16" s="32"/>
      <c r="I16" s="32"/>
      <c r="J16" s="32"/>
      <c r="K16" s="32"/>
    </row>
    <row r="17" spans="1:11" s="33" customFormat="1" ht="11.1" customHeight="1" x14ac:dyDescent="0.25">
      <c r="A17" s="697" t="s">
        <v>40</v>
      </c>
      <c r="B17" s="697"/>
      <c r="C17" s="35"/>
      <c r="D17" s="36">
        <v>1445</v>
      </c>
      <c r="E17" s="37">
        <v>110</v>
      </c>
      <c r="F17" s="37">
        <f t="shared" si="0"/>
        <v>158950</v>
      </c>
      <c r="G17" s="36">
        <v>14</v>
      </c>
      <c r="H17" s="32"/>
      <c r="I17" s="32"/>
      <c r="J17" s="32"/>
      <c r="K17" s="32"/>
    </row>
    <row r="18" spans="1:11" s="33" customFormat="1" ht="11.1" customHeight="1" x14ac:dyDescent="0.25">
      <c r="A18" s="697" t="s">
        <v>41</v>
      </c>
      <c r="B18" s="697"/>
      <c r="C18" s="35"/>
      <c r="D18" s="36">
        <v>129</v>
      </c>
      <c r="E18" s="37">
        <v>120</v>
      </c>
      <c r="F18" s="37">
        <f t="shared" si="0"/>
        <v>15480</v>
      </c>
      <c r="G18" s="36">
        <v>1</v>
      </c>
      <c r="H18" s="32"/>
      <c r="I18" s="32"/>
      <c r="J18" s="32"/>
      <c r="K18" s="32"/>
    </row>
    <row r="19" spans="1:11" s="33" customFormat="1" ht="11.1" customHeight="1" x14ac:dyDescent="0.25">
      <c r="A19" s="697" t="s">
        <v>45</v>
      </c>
      <c r="B19" s="697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1.1" customHeight="1" x14ac:dyDescent="0.25">
      <c r="A20" s="697" t="s">
        <v>46</v>
      </c>
      <c r="B20" s="697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1.1" customHeight="1" x14ac:dyDescent="0.25">
      <c r="A21" s="697" t="s">
        <v>47</v>
      </c>
      <c r="B21" s="697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1.1" customHeight="1" x14ac:dyDescent="0.25">
      <c r="A22" s="696" t="s">
        <v>74</v>
      </c>
      <c r="B22" s="696"/>
      <c r="C22" s="30">
        <f>SUM(C16:C21)</f>
        <v>0</v>
      </c>
      <c r="D22" s="30">
        <f>SUM(D16:D21)</f>
        <v>2296</v>
      </c>
      <c r="E22" s="29"/>
      <c r="F22" s="29">
        <f>SUM(F16:F21)</f>
        <v>261070</v>
      </c>
      <c r="G22" s="36">
        <f>SUM(G16:G21)</f>
        <v>29</v>
      </c>
      <c r="H22" s="32"/>
      <c r="I22" s="32"/>
      <c r="J22" s="32"/>
      <c r="K22" s="32"/>
    </row>
    <row r="23" spans="1:11" s="33" customFormat="1" ht="11.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1.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1.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1.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1.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1.1" customHeight="1" x14ac:dyDescent="0.25">
      <c r="A28" s="696" t="s">
        <v>52</v>
      </c>
      <c r="B28" s="696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1.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1.1" customHeight="1" x14ac:dyDescent="0.25">
      <c r="A30" s="693" t="s">
        <v>7</v>
      </c>
      <c r="B30" s="693"/>
      <c r="C30" s="46"/>
      <c r="D30" s="30">
        <f>D7+D14+D22+D25+D28</f>
        <v>3998</v>
      </c>
      <c r="E30" s="47"/>
      <c r="F30" s="29">
        <f>F7+F14+F22+F25+F28</f>
        <v>449580</v>
      </c>
      <c r="G30" s="30">
        <f>G22+G14</f>
        <v>52</v>
      </c>
    </row>
    <row r="31" spans="1:11" ht="11.1" customHeight="1" x14ac:dyDescent="0.25">
      <c r="A31" s="692"/>
      <c r="B31" s="692"/>
      <c r="C31" s="49"/>
      <c r="D31" s="50"/>
      <c r="E31" s="51"/>
      <c r="F31" s="51"/>
      <c r="G31" s="36"/>
    </row>
    <row r="32" spans="1:11" ht="11.1" customHeight="1" x14ac:dyDescent="0.25">
      <c r="A32" s="693" t="s">
        <v>8</v>
      </c>
      <c r="B32" s="693"/>
      <c r="C32" s="46"/>
      <c r="D32" s="50"/>
      <c r="E32" s="51"/>
      <c r="F32" s="52">
        <f>SUM(F30:F31)</f>
        <v>449580</v>
      </c>
    </row>
    <row r="33" spans="1:8" ht="11.1" hidden="1" customHeight="1" x14ac:dyDescent="0.25">
      <c r="A33" s="53"/>
      <c r="B33" s="53"/>
      <c r="C33" s="54"/>
      <c r="D33" s="55"/>
      <c r="E33" s="56"/>
      <c r="F33" s="56"/>
    </row>
    <row r="34" spans="1:8" ht="11.1" customHeight="1" x14ac:dyDescent="0.25">
      <c r="A34" s="57"/>
      <c r="B34" s="59" t="s">
        <v>9</v>
      </c>
      <c r="C34" s="45"/>
      <c r="D34" s="83" t="s">
        <v>10</v>
      </c>
      <c r="E34" s="84" t="s">
        <v>11</v>
      </c>
      <c r="F34" s="56"/>
    </row>
    <row r="35" spans="1:8" ht="11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1"/>
      <c r="C36" s="61"/>
      <c r="D36" s="51">
        <v>12720</v>
      </c>
      <c r="E36" s="51">
        <f>D36</f>
        <v>12720</v>
      </c>
      <c r="F36" s="62"/>
    </row>
    <row r="37" spans="1:8" ht="11.1" customHeight="1" x14ac:dyDescent="0.25">
      <c r="A37" s="59" t="s">
        <v>15</v>
      </c>
      <c r="B37" s="48"/>
      <c r="C37" s="48"/>
      <c r="D37" s="51">
        <v>520</v>
      </c>
      <c r="E37" s="51">
        <f>D37</f>
        <v>520</v>
      </c>
      <c r="F37" s="56"/>
    </row>
    <row r="38" spans="1:8" ht="11.1" customHeight="1" x14ac:dyDescent="0.25">
      <c r="A38" s="59" t="s">
        <v>55</v>
      </c>
      <c r="B38" s="61"/>
      <c r="C38" s="61"/>
      <c r="D38" s="51">
        <v>20000</v>
      </c>
      <c r="E38" s="51">
        <f>D38</f>
        <v>20000</v>
      </c>
      <c r="F38" s="63"/>
    </row>
    <row r="39" spans="1:8" ht="11.1" customHeight="1" x14ac:dyDescent="0.25">
      <c r="A39" s="59" t="s">
        <v>17</v>
      </c>
      <c r="B39" s="48"/>
      <c r="C39" s="48"/>
      <c r="D39" s="52">
        <f>SUM(D36:D38)</f>
        <v>33240</v>
      </c>
      <c r="E39" s="52">
        <f>SUM(E36:E38)</f>
        <v>33240</v>
      </c>
      <c r="F39" s="56"/>
    </row>
    <row r="40" spans="1:8" ht="11.1" hidden="1" customHeight="1" x14ac:dyDescent="0.25">
      <c r="A40" s="59"/>
      <c r="B40" s="48"/>
      <c r="C40" s="48"/>
      <c r="D40" s="51"/>
      <c r="E40" s="51"/>
      <c r="F40" s="56"/>
    </row>
    <row r="41" spans="1:8" ht="11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 t="s">
        <v>75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v>3900</v>
      </c>
      <c r="E42" s="51">
        <f>B42*D50</f>
        <v>3435.5008210180627</v>
      </c>
      <c r="F42" s="56"/>
    </row>
    <row r="43" spans="1:8" ht="11.1" customHeight="1" x14ac:dyDescent="0.25">
      <c r="A43" s="59" t="s">
        <v>20</v>
      </c>
      <c r="B43" s="65">
        <v>0.03</v>
      </c>
      <c r="C43" s="65"/>
      <c r="D43" s="51">
        <v>18000</v>
      </c>
      <c r="E43" s="51">
        <f>B43*D50</f>
        <v>15856.15763546798</v>
      </c>
      <c r="F43" s="56"/>
    </row>
    <row r="44" spans="1:8" ht="11.1" customHeight="1" x14ac:dyDescent="0.25">
      <c r="A44" s="59" t="s">
        <v>21</v>
      </c>
      <c r="B44" s="65">
        <v>0.05</v>
      </c>
      <c r="C44" s="65"/>
      <c r="D44" s="51">
        <f>B44*D48</f>
        <v>30000</v>
      </c>
      <c r="E44" s="51">
        <f>B44*D50</f>
        <v>26426.929392446636</v>
      </c>
      <c r="F44" s="56"/>
    </row>
    <row r="45" spans="1:8" ht="11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51900</v>
      </c>
      <c r="E45" s="52">
        <f>SUM(E42:E44)</f>
        <v>45718.587848932679</v>
      </c>
      <c r="F45" s="56"/>
    </row>
    <row r="46" spans="1:8" ht="11.1" customHeight="1" x14ac:dyDescent="0.25">
      <c r="A46" s="59" t="s">
        <v>77</v>
      </c>
      <c r="B46" s="64">
        <v>0</v>
      </c>
      <c r="C46" s="64"/>
      <c r="D46" s="51">
        <f>95280-D44</f>
        <v>65280</v>
      </c>
      <c r="E46" s="51"/>
      <c r="F46" s="56"/>
      <c r="H46" s="82"/>
    </row>
    <row r="47" spans="1:8" ht="14.1" hidden="1" customHeight="1" x14ac:dyDescent="0.25">
      <c r="A47" s="59"/>
      <c r="B47" s="64"/>
      <c r="C47" s="64"/>
      <c r="D47" s="51">
        <v>0</v>
      </c>
      <c r="E47" s="51"/>
      <c r="F47" s="56"/>
    </row>
    <row r="48" spans="1:8" ht="14.1" hidden="1" customHeight="1" x14ac:dyDescent="0.25">
      <c r="A48" s="694" t="s">
        <v>58</v>
      </c>
      <c r="B48" s="694"/>
      <c r="C48" s="54"/>
      <c r="D48" s="67">
        <v>600000</v>
      </c>
      <c r="E48" s="56"/>
      <c r="F48" s="56"/>
    </row>
    <row r="49" spans="1:11" ht="14.1" hidden="1" customHeight="1" x14ac:dyDescent="0.25">
      <c r="A49" s="695" t="s">
        <v>59</v>
      </c>
      <c r="B49" s="695"/>
      <c r="C49" s="48"/>
      <c r="D49" s="52">
        <f>F32+E39</f>
        <v>482820</v>
      </c>
      <c r="E49" s="56"/>
      <c r="F49" s="56"/>
    </row>
    <row r="50" spans="1:11" ht="14.1" hidden="1" customHeight="1" x14ac:dyDescent="0.25">
      <c r="A50" s="695" t="s">
        <v>60</v>
      </c>
      <c r="B50" s="695"/>
      <c r="C50" s="48"/>
      <c r="D50" s="68">
        <f>D49/(1-B45)</f>
        <v>528538.58784893272</v>
      </c>
      <c r="E50" s="56"/>
      <c r="F50" s="56"/>
    </row>
    <row r="51" spans="1:11" s="72" customFormat="1" ht="12" customHeight="1" x14ac:dyDescent="0.25">
      <c r="A51" s="691" t="s">
        <v>24</v>
      </c>
      <c r="B51" s="691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2" customHeight="1" x14ac:dyDescent="0.25">
      <c r="A52" s="691" t="s">
        <v>26</v>
      </c>
      <c r="B52" s="691"/>
      <c r="C52" s="45"/>
      <c r="D52" s="52">
        <f>F32+D39+D45+D46</f>
        <v>600000</v>
      </c>
      <c r="E52" s="52">
        <f>F32+E39+E45</f>
        <v>528538.58784893272</v>
      </c>
      <c r="F52" s="52">
        <f>D52-E52</f>
        <v>71461.412151067285</v>
      </c>
      <c r="H52" s="1">
        <f>B43/D43</f>
        <v>1.6666666666666667E-6</v>
      </c>
    </row>
    <row r="53" spans="1:11" ht="12" customHeight="1" x14ac:dyDescent="0.25">
      <c r="A53" s="691" t="s">
        <v>27</v>
      </c>
      <c r="B53" s="691"/>
      <c r="C53" s="46"/>
      <c r="D53" s="52">
        <f>D52*6</f>
        <v>3600000</v>
      </c>
      <c r="E53" s="52">
        <f>E52*6</f>
        <v>3171231.5270935963</v>
      </c>
      <c r="F53" s="52">
        <f>D53-E53</f>
        <v>428768.47290640371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6</vt:i4>
      </vt:variant>
    </vt:vector>
  </HeadingPairs>
  <TitlesOfParts>
    <vt:vector size="35" baseType="lpstr">
      <vt:lpstr>02 IMP</vt:lpstr>
      <vt:lpstr>FISIO</vt:lpstr>
      <vt:lpstr>IMP OK</vt:lpstr>
      <vt:lpstr>SALUS OK</vt:lpstr>
      <vt:lpstr>BRAND OK</vt:lpstr>
      <vt:lpstr>ISSA OK</vt:lpstr>
      <vt:lpstr>HYGEA</vt:lpstr>
      <vt:lpstr>AJ2 S L SAUDE</vt:lpstr>
      <vt:lpstr>SALUS</vt:lpstr>
      <vt:lpstr>DIMPI</vt:lpstr>
      <vt:lpstr>AJ2 SOL LOG SAÚDE OK</vt:lpstr>
      <vt:lpstr>03  AJ2 SOL LOG SAÚDE</vt:lpstr>
      <vt:lpstr>04 FVS</vt:lpstr>
      <vt:lpstr>FS</vt:lpstr>
      <vt:lpstr>UTI PC</vt:lpstr>
      <vt:lpstr>Modelo revisado</vt:lpstr>
      <vt:lpstr>DOCTOR VIP L 1</vt:lpstr>
      <vt:lpstr>DOCTOR VIP L 2</vt:lpstr>
      <vt:lpstr>MORAES E SOEIRO L 03</vt:lpstr>
      <vt:lpstr>MORAES E SOEIRO L 08</vt:lpstr>
      <vt:lpstr>parei MORAES E SOEIRO L4</vt:lpstr>
      <vt:lpstr>Plan2</vt:lpstr>
      <vt:lpstr>HYPNOS L 4</vt:lpstr>
      <vt:lpstr>HYPNOS L.7</vt:lpstr>
      <vt:lpstr>LIFECARE 6 CONF.</vt:lpstr>
      <vt:lpstr>DOM WALMOR L.5 CONF.</vt:lpstr>
      <vt:lpstr>IMP</vt:lpstr>
      <vt:lpstr>DOM WALMOR L. 5</vt:lpstr>
      <vt:lpstr>Plan1</vt:lpstr>
      <vt:lpstr>'DOCTOR VIP L 1'!Area_de_impressao</vt:lpstr>
      <vt:lpstr>'DOM WALMOR L.5 CONF.'!Area_de_impressao</vt:lpstr>
      <vt:lpstr>'HYPNOS L.7'!Area_de_impressao</vt:lpstr>
      <vt:lpstr>'LIFECARE 6 CONF.'!Area_de_impressao</vt:lpstr>
      <vt:lpstr>'Modelo revisado'!Area_de_impressao</vt:lpstr>
      <vt:lpstr>'MORAES E SOEIRO L 03'!Area_de_impressao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Tatiana Barbosa de Mendonça</cp:lastModifiedBy>
  <cp:revision>11</cp:revision>
  <cp:lastPrinted>2023-08-11T15:03:37Z</cp:lastPrinted>
  <dcterms:created xsi:type="dcterms:W3CDTF">2020-09-29T01:25:53Z</dcterms:created>
  <dcterms:modified xsi:type="dcterms:W3CDTF">2024-02-29T15:56:28Z</dcterms:modified>
  <dc:language>pt-BR</dc:language>
</cp:coreProperties>
</file>